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\Desktop\"/>
    </mc:Choice>
  </mc:AlternateContent>
  <bookViews>
    <workbookView xWindow="0" yWindow="0" windowWidth="17844" windowHeight="9864"/>
  </bookViews>
  <sheets>
    <sheet name="Problem 1" sheetId="1" r:id="rId1"/>
    <sheet name="Problem 1 b)" sheetId="2" r:id="rId2"/>
    <sheet name="Problem 1 c)" sheetId="3" r:id="rId3"/>
    <sheet name="Problem 1 d)" sheetId="4" r:id="rId4"/>
    <sheet name="Problem 2" sheetId="6" r:id="rId5"/>
    <sheet name="Problem 3" sheetId="7" r:id="rId6"/>
    <sheet name="Problem 4" sheetId="8" r:id="rId7"/>
    <sheet name="Problem 5" sheetId="9" r:id="rId8"/>
  </sheets>
  <externalReferences>
    <externalReference r:id="rId9"/>
    <externalReference r:id="rId10"/>
  </externalReferences>
  <definedNames>
    <definedName name="Annual_Investment_required" localSheetId="0">'Problem 1'!$B$10</definedName>
    <definedName name="Beginning_Balance" localSheetId="4">-FV('Problem 2'!Interest_Rate/12,'Problem 2'!Payment_Number-1,-'Problem 2'!Monthly_Payment,'Problem 2'!Loan_Amount)</definedName>
    <definedName name="Beginning_Balance" localSheetId="5">-FV('Problem 3'!Interest_Rate/12,'Problem 3'!Payment_Number-1,-'Problem 3'!Monthly_Payment,'Problem 3'!Loan_Amount)</definedName>
    <definedName name="Beginning_Balance" localSheetId="7">-FV('Problem 5'!Interest_Rate/12,'Problem 5'!Payment_Number-1,-'Problem 5'!Monthly_Payment,'Problem 5'!Loan_Amount)</definedName>
    <definedName name="Beginning_Balance">-FV(Interest_Rate/12,Payment_Number-1,-Monthly_Payment,Loan_Amount)</definedName>
    <definedName name="Ending_Balance" localSheetId="4">-FV('Problem 2'!Interest_Rate/12,'Problem 2'!Payment_Number,-'Problem 2'!Monthly_Payment,'Problem 2'!Loan_Amount)</definedName>
    <definedName name="Ending_Balance" localSheetId="5">-FV('Problem 3'!Interest_Rate/12,'Problem 3'!Payment_Number,-'Problem 3'!Monthly_Payment,'Problem 3'!Loan_Amount)</definedName>
    <definedName name="Ending_Balance" localSheetId="7">-FV('Problem 5'!Interest_Rate/12,'Problem 5'!Payment_Number,-'Problem 5'!Monthly_Payment,'Problem 5'!Loan_Amount)</definedName>
    <definedName name="Ending_Balance">-FV(Interest_Rate/12,Payment_Number,-Monthly_Payment,Loan_Amount)</definedName>
    <definedName name="Expected_Inflation_Rate" localSheetId="0">'Problem 1'!$B$5</definedName>
    <definedName name="First_Annual_Investment" localSheetId="0">'Problem 1'!$B$11</definedName>
    <definedName name="First_Annual_Investment_required" localSheetId="0">'Problem 1'!#REF!</definedName>
    <definedName name="First_Annual_Investment_required">'Problem 1'!$B$11</definedName>
    <definedName name="Header_Row" localSheetId="4">ROW('[1]Loan Calculator'!$A$15:$IV$15)</definedName>
    <definedName name="Header_Row" localSheetId="5">ROW('[1]Loan Calculator'!$A$15:$IV$15)</definedName>
    <definedName name="Header_Row" localSheetId="7">ROW('[1]Loan Calculator'!$A$15:$IV$15)</definedName>
    <definedName name="Header_Row">ROW('[2]Loan Calculator'!$A$15:$IV$15)</definedName>
    <definedName name="Interest" localSheetId="4">-IPMT('Problem 2'!Interest_Rate/12,'Problem 2'!Payment_Number,'Problem 2'!Number_of_Payments,'Problem 2'!Loan_Amount)</definedName>
    <definedName name="Interest" localSheetId="5">-IPMT('Problem 3'!Interest_Rate/12,'Problem 3'!Payment_Number,'Problem 3'!Number_of_Payments,'Problem 3'!Loan_Amount)</definedName>
    <definedName name="Interest" localSheetId="7">-IPMT('Problem 5'!Interest_Rate/12,'Problem 5'!Payment_Number,'Problem 5'!Number_of_Payments,'Problem 5'!Loan_Amount)</definedName>
    <definedName name="Interest">-IPMT(Interest_Rate/12,Payment_Number,Number_of_Payments,Loan_Amount)</definedName>
    <definedName name="Interest_Rate" localSheetId="4">'[1]Loan Calculator'!$E$5</definedName>
    <definedName name="Interest_Rate" localSheetId="5">'[1]Loan Calculator'!$E$5</definedName>
    <definedName name="Interest_Rate" localSheetId="7">'[1]Loan Calculator'!$E$5</definedName>
    <definedName name="Interest_Rate">'[2]Loan Calculator'!$E$5</definedName>
    <definedName name="Investment_Required_Today" localSheetId="0">'Problem 1'!$B$9</definedName>
    <definedName name="Last_Row" localSheetId="4">IF('Problem 2'!Values_Entered,'Problem 2'!Header_Row+'Problem 2'!Number_of_Payments,'Problem 2'!Header_Row)</definedName>
    <definedName name="Last_Row" localSheetId="5">IF('Problem 3'!Values_Entered,'Problem 3'!Header_Row+'Problem 3'!Number_of_Payments,'Problem 3'!Header_Row)</definedName>
    <definedName name="Last_Row" localSheetId="7">IF('Problem 5'!Values_Entered,'Problem 5'!Header_Row+'Problem 5'!Number_of_Payments,'Problem 5'!Header_Row)</definedName>
    <definedName name="Last_Row">IF(Values_Entered,Header_Row+Number_of_Payments,Header_Row)</definedName>
    <definedName name="Loan_Amount" localSheetId="4">'[1]Loan Calculator'!$E$4</definedName>
    <definedName name="Loan_Amount" localSheetId="5">'[1]Loan Calculator'!$E$4</definedName>
    <definedName name="Loan_Amount" localSheetId="7">'[1]Loan Calculator'!$E$4</definedName>
    <definedName name="Loan_Amount">'[2]Loan Calculator'!$E$4</definedName>
    <definedName name="Loan_Not_Paid" localSheetId="4">IF('Problem 2'!Payment_Number&lt;='Problem 2'!Number_of_Payments,1,0)</definedName>
    <definedName name="Loan_Not_Paid" localSheetId="5">IF('Problem 3'!Payment_Number&lt;='Problem 3'!Number_of_Payments,1,0)</definedName>
    <definedName name="Loan_Not_Paid" localSheetId="7">IF('Problem 5'!Payment_Number&lt;='Problem 5'!Number_of_Payments,1,0)</definedName>
    <definedName name="Loan_Not_Paid">IF(Payment_Number&lt;=Number_of_Payments,1,0)</definedName>
    <definedName name="Loan_Start" localSheetId="4">'[1]Loan Calculator'!$E$7</definedName>
    <definedName name="Loan_Start" localSheetId="5">'[1]Loan Calculator'!$E$7</definedName>
    <definedName name="Loan_Start" localSheetId="7">'[1]Loan Calculator'!$E$7</definedName>
    <definedName name="Loan_Start">'[2]Loan Calculator'!$E$7</definedName>
    <definedName name="Loan_Years" localSheetId="4">'[1]Loan Calculator'!$E$6</definedName>
    <definedName name="Loan_Years" localSheetId="5">'[1]Loan Calculator'!$E$6</definedName>
    <definedName name="Loan_Years" localSheetId="7">'[1]Loan Calculator'!$E$6</definedName>
    <definedName name="Loan_Years">'[2]Loan Calculator'!$E$6</definedName>
    <definedName name="Monthly_Payment" localSheetId="4">-PMT('Problem 2'!Interest_Rate/12,'Problem 2'!Number_of_Payments,'Problem 2'!Loan_Amount)</definedName>
    <definedName name="Monthly_Payment" localSheetId="5">-PMT('Problem 3'!Interest_Rate/12,'Problem 3'!Number_of_Payments,'Problem 3'!Loan_Amount)</definedName>
    <definedName name="Monthly_Payment" localSheetId="7">-PMT('Problem 5'!Interest_Rate/12,'Problem 5'!Number_of_Payments,'Problem 5'!Loan_Amount)</definedName>
    <definedName name="Monthly_Payment">-PMT(Interest_Rate/12,Number_of_Payments,Loan_Amount)</definedName>
    <definedName name="Number_of_Payments" localSheetId="4">'[1]Loan Calculator'!$E$10</definedName>
    <definedName name="Number_of_Payments" localSheetId="5">'[1]Loan Calculator'!$E$10</definedName>
    <definedName name="Number_of_Payments" localSheetId="7">'[1]Loan Calculator'!$E$10</definedName>
    <definedName name="Number_of_Payments">'[2]Loan Calculator'!$E$10</definedName>
    <definedName name="Payment_Date" localSheetId="4">DATE(YEAR('Problem 2'!Loan_Start),MONTH('Problem 2'!Loan_Start)+'Problem 2'!Payment_Number,DAY('Problem 2'!Loan_Start))</definedName>
    <definedName name="Payment_Date" localSheetId="5">DATE(YEAR('Problem 3'!Loan_Start),MONTH('Problem 3'!Loan_Start)+'Problem 3'!Payment_Number,DAY('Problem 3'!Loan_Start))</definedName>
    <definedName name="Payment_Date" localSheetId="7">DATE(YEAR('Problem 5'!Loan_Start),MONTH('Problem 5'!Loan_Start)+'Problem 5'!Payment_Number,DAY('Problem 5'!Loan_Start))</definedName>
    <definedName name="Payment_Date">DATE(YEAR(Loan_Start),MONTH(Loan_Start)+Payment_Number,DAY(Loan_Start))</definedName>
    <definedName name="Payment_Number" localSheetId="4">ROW()-'Problem 2'!Header_Row</definedName>
    <definedName name="Payment_Number" localSheetId="5">ROW()-'Problem 3'!Header_Row</definedName>
    <definedName name="Payment_Number" localSheetId="7">ROW()-'Problem 5'!Header_Row</definedName>
    <definedName name="Payment_Number">ROW()-Header_Row</definedName>
    <definedName name="Principal" localSheetId="4">-PPMT('Problem 2'!Interest_Rate/12,'Problem 2'!Payment_Number,'Problem 2'!Number_of_Payments,'Problem 2'!Loan_Amount)</definedName>
    <definedName name="Principal" localSheetId="5">-PPMT('Problem 3'!Interest_Rate/12,'Problem 3'!Payment_Number,'Problem 3'!Number_of_Payments,'Problem 3'!Loan_Amount)</definedName>
    <definedName name="Principal" localSheetId="7">-PPMT('Problem 5'!Interest_Rate/12,'Problem 5'!Payment_Number,'Problem 5'!Number_of_Payments,'Problem 5'!Loan_Amount)</definedName>
    <definedName name="Principal">-PPMT(Interest_Rate/12,Payment_Number,Number_of_Payments,Loan_Amount)</definedName>
    <definedName name="Rate_of_Return_before_Retirement" localSheetId="0">'Problem 1'!$B$6</definedName>
    <definedName name="Total_Cost">'Problem 5'!$E$12</definedName>
    <definedName name="Values_Entered" localSheetId="4">IF('Problem 2'!Loan_Amount*'Problem 2'!Interest_Rate*'Problem 2'!Loan_Years*'Problem 2'!Loan_Start&gt;0,1,0)</definedName>
    <definedName name="Values_Entered" localSheetId="5">IF('Problem 3'!Loan_Amount*'Problem 3'!Interest_Rate*'Problem 3'!Loan_Years*'Problem 3'!Loan_Start&gt;0,1,0)</definedName>
    <definedName name="Values_Entered" localSheetId="7">IF('Problem 5'!Loan_Amount*'Problem 5'!Interest_Rate*'Problem 5'!Loan_Years*'Problem 5'!Loan_Start&gt;0,1,0)</definedName>
    <definedName name="Values_Entered">IF(Loan_Amount*Interest_Rate*Loan_Years*Loan_Start&gt;0,1,0)</definedName>
    <definedName name="Vulues_Entered_II" localSheetId="4">IF('Problem 2'!Loan_Amount*'Problem 2'!Interest_Rate*'Problem 2'!Loan_Years*'Problem 2'!Loan_Start&gt;0,1,0)</definedName>
    <definedName name="Vulues_Entered_II" localSheetId="5">IF('Problem 3'!Loan_Amount*'Problem 3'!Interest_Rate*'Problem 3'!Loan_Years*'Problem 3'!Loan_Start&gt;0,1,0)</definedName>
    <definedName name="Vulues_Entered_II" localSheetId="7">IF('Problem 5'!Loan_Amount*'Problem 5'!Interest_Rate*'Problem 5'!Loan_Years*'Problem 5'!Loan_Start&gt;0,1,0)</definedName>
    <definedName name="Vulues_Entered_II">IF(Loan_Amount*Interest_Rate*Loan_Years*Loan_Start&gt;0,1,0)</definedName>
    <definedName name="x">-IPMT('Problem 2'!Interest_Rate/12,Payment_Number,'Problem 2'!Number_of_Payments,'Problem 2'!Loan_Amount)</definedName>
    <definedName name="Years_in_Retirement" localSheetId="0">'Problem 1'!$B$4</definedName>
    <definedName name="Years_until_Retirement" localSheetId="0">'Problem 1'!$B$3</definedName>
  </definedNames>
  <calcPr calcId="152511"/>
</workbook>
</file>

<file path=xl/calcChain.xml><?xml version="1.0" encoding="utf-8"?>
<calcChain xmlns="http://schemas.openxmlformats.org/spreadsheetml/2006/main">
  <c r="C29" i="9" l="1"/>
  <c r="C30" i="9"/>
  <c r="C31" i="9"/>
  <c r="C32" i="9"/>
  <c r="C33" i="9"/>
  <c r="C34" i="9"/>
  <c r="C35" i="9"/>
  <c r="C36" i="9"/>
  <c r="C37" i="9"/>
  <c r="C38" i="9"/>
  <c r="C39" i="9"/>
  <c r="C40" i="9"/>
  <c r="B51" i="9"/>
  <c r="B52" i="9" s="1"/>
  <c r="B46" i="9"/>
  <c r="B47" i="9" s="1"/>
  <c r="B45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B5" i="9"/>
  <c r="D5" i="9" s="1"/>
  <c r="E5" i="9" l="1"/>
  <c r="F5" i="9" l="1"/>
  <c r="B6" i="9" s="1"/>
  <c r="D6" i="9" s="1"/>
  <c r="E6" i="9" l="1"/>
  <c r="F6" i="9" l="1"/>
  <c r="B7" i="9" s="1"/>
  <c r="D7" i="9" l="1"/>
  <c r="E7" i="9" l="1"/>
  <c r="F7" i="9" l="1"/>
  <c r="B8" i="9" s="1"/>
  <c r="D8" i="9" l="1"/>
  <c r="E8" i="9" l="1"/>
  <c r="F8" i="9" l="1"/>
  <c r="B9" i="9" s="1"/>
  <c r="D9" i="9" l="1"/>
  <c r="E9" i="9" s="1"/>
  <c r="F9" i="9" s="1"/>
  <c r="B10" i="9" s="1"/>
  <c r="D10" i="9" l="1"/>
  <c r="E10" i="9" s="1"/>
  <c r="F10" i="9" s="1"/>
  <c r="B11" i="9" s="1"/>
  <c r="D11" i="9" l="1"/>
  <c r="E11" i="9" s="1"/>
  <c r="F11" i="9" s="1"/>
  <c r="B12" i="9" s="1"/>
  <c r="D12" i="9" l="1"/>
  <c r="E12" i="9" s="1"/>
  <c r="F12" i="9" s="1"/>
  <c r="B13" i="9" s="1"/>
  <c r="D13" i="9" l="1"/>
  <c r="E13" i="9" s="1"/>
  <c r="F13" i="9" s="1"/>
  <c r="B14" i="9" s="1"/>
  <c r="D14" i="9" l="1"/>
  <c r="E14" i="9" s="1"/>
  <c r="F14" i="9" s="1"/>
  <c r="B15" i="9" s="1"/>
  <c r="D15" i="9" l="1"/>
  <c r="E15" i="9" s="1"/>
  <c r="F15" i="9" s="1"/>
  <c r="B16" i="9" s="1"/>
  <c r="D16" i="9" l="1"/>
  <c r="E16" i="9" s="1"/>
  <c r="F16" i="9" s="1"/>
  <c r="B17" i="9" s="1"/>
  <c r="D17" i="9" l="1"/>
  <c r="E17" i="9" s="1"/>
  <c r="F17" i="9" s="1"/>
  <c r="B18" i="9" s="1"/>
  <c r="D18" i="9" l="1"/>
  <c r="E18" i="9" s="1"/>
  <c r="F18" i="9" s="1"/>
  <c r="B19" i="9" s="1"/>
  <c r="D19" i="9" l="1"/>
  <c r="E19" i="9" s="1"/>
  <c r="F19" i="9" s="1"/>
  <c r="B20" i="9" s="1"/>
  <c r="D20" i="9" l="1"/>
  <c r="E20" i="9" s="1"/>
  <c r="F20" i="9" s="1"/>
  <c r="B21" i="9" s="1"/>
  <c r="D21" i="9" l="1"/>
  <c r="E21" i="9" s="1"/>
  <c r="F21" i="9" s="1"/>
  <c r="B22" i="9" s="1"/>
  <c r="D22" i="9" l="1"/>
  <c r="E22" i="9" s="1"/>
  <c r="F22" i="9" s="1"/>
  <c r="B23" i="9" s="1"/>
  <c r="D23" i="9" l="1"/>
  <c r="E23" i="9" s="1"/>
  <c r="F23" i="9" s="1"/>
  <c r="B24" i="9" s="1"/>
  <c r="D24" i="9" l="1"/>
  <c r="E24" i="9" s="1"/>
  <c r="F24" i="9" s="1"/>
  <c r="B25" i="9" s="1"/>
  <c r="D25" i="9" l="1"/>
  <c r="E25" i="9" s="1"/>
  <c r="F25" i="9" s="1"/>
  <c r="B26" i="9" s="1"/>
  <c r="D26" i="9" l="1"/>
  <c r="E26" i="9" s="1"/>
  <c r="F26" i="9" s="1"/>
  <c r="B27" i="9" s="1"/>
  <c r="D27" i="9" l="1"/>
  <c r="E27" i="9" s="1"/>
  <c r="F27" i="9" s="1"/>
  <c r="B28" i="9" s="1"/>
  <c r="D28" i="9" l="1"/>
  <c r="B10" i="8"/>
  <c r="B2" i="8"/>
  <c r="C4" i="8"/>
  <c r="C5" i="8"/>
  <c r="C6" i="8"/>
  <c r="C7" i="8"/>
  <c r="C3" i="8"/>
  <c r="B8" i="8"/>
  <c r="E28" i="9" l="1"/>
  <c r="C8" i="8"/>
  <c r="B16" i="7"/>
  <c r="B11" i="7"/>
  <c r="B34" i="7"/>
  <c r="B35" i="7" s="1"/>
  <c r="B36" i="7" s="1"/>
  <c r="B37" i="7" s="1"/>
  <c r="B31" i="7"/>
  <c r="B4" i="7"/>
  <c r="B5" i="7" s="1"/>
  <c r="F28" i="9" l="1"/>
  <c r="B29" i="9" s="1"/>
  <c r="D29" i="9" s="1"/>
  <c r="E29" i="9" s="1"/>
  <c r="F29" i="9" s="1"/>
  <c r="B30" i="9" s="1"/>
  <c r="D30" i="9" s="1"/>
  <c r="E30" i="9" s="1"/>
  <c r="F30" i="9" s="1"/>
  <c r="B31" i="9" s="1"/>
  <c r="B43" i="7"/>
  <c r="B44" i="7" s="1"/>
  <c r="B45" i="7" s="1"/>
  <c r="B46" i="7" s="1"/>
  <c r="B23" i="7"/>
  <c r="B17" i="7"/>
  <c r="B18" i="7" s="1"/>
  <c r="B32" i="7"/>
  <c r="B33" i="7" s="1"/>
  <c r="B38" i="7"/>
  <c r="B24" i="7" l="1"/>
  <c r="B25" i="7" s="1"/>
  <c r="B26" i="7" s="1"/>
  <c r="D31" i="9"/>
  <c r="E31" i="9" s="1"/>
  <c r="F31" i="9" s="1"/>
  <c r="B32" i="9" s="1"/>
  <c r="D32" i="9" s="1"/>
  <c r="E32" i="9" s="1"/>
  <c r="F32" i="9" s="1"/>
  <c r="B33" i="9" s="1"/>
  <c r="D33" i="9" s="1"/>
  <c r="E33" i="9" s="1"/>
  <c r="F33" i="9" s="1"/>
  <c r="B34" i="9" s="1"/>
  <c r="D34" i="9" s="1"/>
  <c r="E34" i="9" s="1"/>
  <c r="F34" i="9" s="1"/>
  <c r="B35" i="9" s="1"/>
  <c r="D35" i="9" s="1"/>
  <c r="E35" i="9" s="1"/>
  <c r="F35" i="9" s="1"/>
  <c r="B36" i="9" s="1"/>
  <c r="D36" i="9" s="1"/>
  <c r="E36" i="9" s="1"/>
  <c r="F36" i="9" s="1"/>
  <c r="B37" i="9" s="1"/>
  <c r="D37" i="9" s="1"/>
  <c r="E37" i="9" s="1"/>
  <c r="F37" i="9" s="1"/>
  <c r="B38" i="9" s="1"/>
  <c r="D38" i="9" s="1"/>
  <c r="E38" i="9" s="1"/>
  <c r="F38" i="9" s="1"/>
  <c r="B39" i="9" s="1"/>
  <c r="D39" i="9" s="1"/>
  <c r="E39" i="9" s="1"/>
  <c r="F39" i="9" s="1"/>
  <c r="B40" i="9" s="1"/>
  <c r="D40" i="9" s="1"/>
  <c r="B47" i="7"/>
  <c r="B48" i="7" s="1"/>
  <c r="B39" i="7"/>
  <c r="B40" i="7" s="1"/>
  <c r="B12" i="7"/>
  <c r="B19" i="7" s="1"/>
  <c r="B20" i="7" s="1"/>
  <c r="E40" i="9" l="1"/>
  <c r="D41" i="9"/>
  <c r="B27" i="7"/>
  <c r="B28" i="7" s="1"/>
  <c r="F40" i="9" l="1"/>
  <c r="E41" i="9"/>
  <c r="D17" i="6"/>
  <c r="D16" i="6"/>
  <c r="D3" i="6"/>
  <c r="D6" i="6" s="1"/>
  <c r="D7" i="6"/>
  <c r="D5" i="6"/>
  <c r="D2" i="6"/>
  <c r="D4" i="6" l="1"/>
  <c r="D8" i="6" s="1"/>
  <c r="D9" i="6" s="1"/>
  <c r="D12" i="6" s="1"/>
  <c r="D25" i="6" l="1"/>
  <c r="D24" i="6"/>
  <c r="D23" i="6"/>
  <c r="D18" i="6"/>
  <c r="D21" i="6" l="1"/>
  <c r="D20" i="6" s="1"/>
  <c r="D19" i="6"/>
  <c r="D22" i="6"/>
  <c r="B18" i="6" l="1"/>
  <c r="B6" i="6"/>
  <c r="B4" i="6" s="1"/>
  <c r="B8" i="6" s="1"/>
  <c r="B24" i="6" l="1"/>
  <c r="B25" i="6"/>
  <c r="B23" i="6"/>
  <c r="B9" i="6"/>
  <c r="B12" i="6" l="1"/>
  <c r="B11" i="6"/>
  <c r="B21" i="6"/>
  <c r="B20" i="6" s="1"/>
  <c r="B19" i="6"/>
  <c r="B22" i="6"/>
  <c r="B8" i="1" l="1"/>
  <c r="B11" i="1" l="1"/>
  <c r="B12" i="1" s="1"/>
  <c r="B10" i="1" l="1"/>
  <c r="B9" i="1"/>
</calcChain>
</file>

<file path=xl/sharedStrings.xml><?xml version="1.0" encoding="utf-8"?>
<sst xmlns="http://schemas.openxmlformats.org/spreadsheetml/2006/main" count="166" uniqueCount="114">
  <si>
    <t>Retirement Worksheet with Growing Income and Savings</t>
  </si>
  <si>
    <t>Annual Retirement Income Need</t>
  </si>
  <si>
    <t>Years until Retirement</t>
  </si>
  <si>
    <t>Years in Retirement</t>
  </si>
  <si>
    <t>Expected Inflation Rate</t>
  </si>
  <si>
    <t>Rate of Return before Retirement</t>
  </si>
  <si>
    <t>Rate of Return during Retirement</t>
  </si>
  <si>
    <t>Savings Required at Retirement</t>
  </si>
  <si>
    <t>Investment Required Today</t>
  </si>
  <si>
    <t>Annual Investment required</t>
  </si>
  <si>
    <t>First Annual Investment required</t>
  </si>
  <si>
    <t>Future value of a Graduate Annuity</t>
  </si>
  <si>
    <t>Rate_of_Return_before_Retiremen</t>
  </si>
  <si>
    <t>Investment_Required_Today</t>
  </si>
  <si>
    <t>Annual_Investment_required</t>
  </si>
  <si>
    <t>First_Annual_Investment</t>
  </si>
  <si>
    <t>Conservative Portfolio</t>
  </si>
  <si>
    <t>Created by Info Tech on 5/30/2009
Modified by jdempere on 12/2/2011</t>
  </si>
  <si>
    <t>Moderate Portfolio</t>
  </si>
  <si>
    <t>Growth Portfolio</t>
  </si>
  <si>
    <t>Risky Portfolio</t>
  </si>
  <si>
    <t>Created by jdempere on 12/2/2011</t>
  </si>
  <si>
    <t>Scenario Summary</t>
  </si>
  <si>
    <t>Changing Cells:</t>
  </si>
  <si>
    <t>Current Values:</t>
  </si>
  <si>
    <t>Result Cells:</t>
  </si>
  <si>
    <t>Notes:  Current Values column represents values of changing cells at</t>
  </si>
  <si>
    <t>time Scenario Summary Report was created.  Changing cells for each</t>
  </si>
  <si>
    <t>scenario are highlighted in gray.</t>
  </si>
  <si>
    <t>Years_until_Retirement</t>
  </si>
  <si>
    <t>Years_in_Retirement</t>
  </si>
  <si>
    <t>Short-term</t>
  </si>
  <si>
    <t>Intermediate-term</t>
  </si>
  <si>
    <t>Long-term</t>
  </si>
  <si>
    <t>Expected_Inflation_Rate</t>
  </si>
  <si>
    <t>Low Inflation</t>
  </si>
  <si>
    <t>Moderate Inflation</t>
  </si>
  <si>
    <t>High Inflation</t>
  </si>
  <si>
    <t>Very High Inflation</t>
  </si>
  <si>
    <t>Down Payment Worksheet</t>
  </si>
  <si>
    <t>Money to Invest</t>
  </si>
  <si>
    <t>House Price</t>
  </si>
  <si>
    <t>Total Loan</t>
  </si>
  <si>
    <t>Down Payment</t>
  </si>
  <si>
    <t>Total Needed</t>
  </si>
  <si>
    <t>Return on Investments</t>
  </si>
  <si>
    <t>Number of Periods</t>
  </si>
  <si>
    <t>Monthly Savings</t>
  </si>
  <si>
    <t>Inflation Rate</t>
  </si>
  <si>
    <t>Mortgage Worksheet</t>
  </si>
  <si>
    <t>Loan Rate</t>
  </si>
  <si>
    <t>Loan period in years</t>
  </si>
  <si>
    <t>Monthly payments</t>
  </si>
  <si>
    <t>Annual loan payments</t>
  </si>
  <si>
    <t>Interest over term of loan</t>
  </si>
  <si>
    <t>Sum of all payments</t>
  </si>
  <si>
    <t>Principal @ 1st Month</t>
  </si>
  <si>
    <t>Interest @ 1st Month</t>
  </si>
  <si>
    <t>Principal @ 50th Month</t>
  </si>
  <si>
    <t>Interest @ 50th Month</t>
  </si>
  <si>
    <t>Down Payment (%)</t>
  </si>
  <si>
    <t>Down Payment ($)</t>
  </si>
  <si>
    <t>Closing Costs (%)</t>
  </si>
  <si>
    <t>Closing Costs ($)</t>
  </si>
  <si>
    <t>d)</t>
  </si>
  <si>
    <t>e)</t>
  </si>
  <si>
    <t>Car Loan ($)</t>
  </si>
  <si>
    <t>Car Loan Life (years)</t>
  </si>
  <si>
    <t>Annual Income</t>
  </si>
  <si>
    <t xml:space="preserve">Monthly Income </t>
  </si>
  <si>
    <t>Maximum Monthly Payments</t>
  </si>
  <si>
    <t>Mortgage Life (years)</t>
  </si>
  <si>
    <t>Mortgage Rate</t>
  </si>
  <si>
    <t>Personal Investment Rate</t>
  </si>
  <si>
    <t>Car Loan Rate</t>
  </si>
  <si>
    <t>PV of Max. Monthly Payments</t>
  </si>
  <si>
    <t>Monthly Car Loan Payment</t>
  </si>
  <si>
    <t xml:space="preserve">Monthly Investment </t>
  </si>
  <si>
    <t>FV of Investments</t>
  </si>
  <si>
    <t>Total House Price</t>
  </si>
  <si>
    <t>b. Pay the Car Loan and Then Invest</t>
  </si>
  <si>
    <t>Months to Repay Loan</t>
  </si>
  <si>
    <t>Time left to Invest (months)</t>
  </si>
  <si>
    <t>c. Invest and Repay the Car Loan Simultaneously</t>
  </si>
  <si>
    <t>Future Annual Income</t>
  </si>
  <si>
    <t>d. Pay the Car Loan and then Invest</t>
  </si>
  <si>
    <t>a. Invest and Repayment of Car Loan Simultaneously</t>
  </si>
  <si>
    <t>Year</t>
  </si>
  <si>
    <t>NPV</t>
  </si>
  <si>
    <t>I%</t>
  </si>
  <si>
    <t>PV</t>
  </si>
  <si>
    <t>Cost</t>
  </si>
  <si>
    <t>IRR</t>
  </si>
  <si>
    <t>Savings</t>
  </si>
  <si>
    <t>Car Loan</t>
  </si>
  <si>
    <t>Interest Rate</t>
  </si>
  <si>
    <t>Loan Life</t>
  </si>
  <si>
    <t>Period</t>
  </si>
  <si>
    <t>Beginning Balance</t>
  </si>
  <si>
    <t>Payment</t>
  </si>
  <si>
    <t xml:space="preserve">Interest </t>
  </si>
  <si>
    <t>Principal</t>
  </si>
  <si>
    <t>Ending Balance</t>
  </si>
  <si>
    <t>Total</t>
  </si>
  <si>
    <t>Buy</t>
  </si>
  <si>
    <t>Salvage Value</t>
  </si>
  <si>
    <t>Car Loan Payments</t>
  </si>
  <si>
    <t>PV of Salvage Value</t>
  </si>
  <si>
    <t>Car Loan - PV Salvage</t>
  </si>
  <si>
    <t>Lease</t>
  </si>
  <si>
    <t>Lease Down Payment</t>
  </si>
  <si>
    <t>Lease Monthly Payments</t>
  </si>
  <si>
    <t>PV of Lease Payments</t>
  </si>
  <si>
    <t>Total PV + 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</si>
</sst>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#.00&quot; years&quot;"/>
    <numFmt numFmtId="166" formatCode="0.0"/>
    <numFmt numFmtId="167" formatCode="0.0%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0"/>
      <name val="MS Sans Serif"/>
      <family val="2"/>
    </font>
    <font>
      <b/>
      <sz val="12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DDDDD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2" fillId="0" borderId="0" xfId="0" applyNumberFormat="1" applyFont="1"/>
    <xf numFmtId="10" fontId="2" fillId="0" borderId="0" xfId="0" applyNumberFormat="1" applyFont="1"/>
    <xf numFmtId="0" fontId="2" fillId="0" borderId="1" xfId="0" applyFont="1" applyBorder="1"/>
    <xf numFmtId="10" fontId="2" fillId="0" borderId="1" xfId="0" applyNumberFormat="1" applyFont="1" applyBorder="1"/>
    <xf numFmtId="164" fontId="2" fillId="0" borderId="0" xfId="0" applyNumberFormat="1" applyFont="1"/>
    <xf numFmtId="4" fontId="2" fillId="0" borderId="0" xfId="0" applyNumberFormat="1" applyFont="1"/>
    <xf numFmtId="0" fontId="2" fillId="0" borderId="0" xfId="0" applyFont="1" applyFill="1"/>
    <xf numFmtId="164" fontId="2" fillId="0" borderId="0" xfId="0" applyNumberFormat="1" applyFont="1" applyFill="1"/>
    <xf numFmtId="0" fontId="0" fillId="0" borderId="0" xfId="0" applyFill="1" applyBorder="1" applyAlignment="1"/>
    <xf numFmtId="10" fontId="0" fillId="0" borderId="0" xfId="0" applyNumberFormat="1" applyFill="1" applyBorder="1" applyAlignment="1"/>
    <xf numFmtId="4" fontId="0" fillId="0" borderId="0" xfId="0" applyNumberFormat="1" applyFill="1" applyBorder="1" applyAlignment="1"/>
    <xf numFmtId="164" fontId="0" fillId="0" borderId="1" xfId="0" applyNumberFormat="1" applyFill="1" applyBorder="1" applyAlignment="1"/>
    <xf numFmtId="0" fontId="5" fillId="2" borderId="3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0" fillId="0" borderId="4" xfId="0" applyFill="1" applyBorder="1" applyAlignment="1"/>
    <xf numFmtId="0" fontId="6" fillId="3" borderId="0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10" fontId="0" fillId="4" borderId="0" xfId="0" applyNumberFormat="1" applyFill="1" applyBorder="1" applyAlignment="1"/>
    <xf numFmtId="0" fontId="9" fillId="0" borderId="0" xfId="0" applyFont="1" applyFill="1" applyBorder="1" applyAlignment="1">
      <alignment vertical="top" wrapText="1"/>
    </xf>
    <xf numFmtId="3" fontId="0" fillId="0" borderId="0" xfId="0" applyNumberFormat="1" applyFill="1" applyBorder="1" applyAlignment="1"/>
    <xf numFmtId="3" fontId="0" fillId="4" borderId="0" xfId="0" applyNumberFormat="1" applyFill="1" applyBorder="1" applyAlignment="1"/>
    <xf numFmtId="38" fontId="11" fillId="0" borderId="0" xfId="0" applyNumberFormat="1" applyFont="1" applyFill="1" applyAlignment="1" applyProtection="1">
      <alignment horizontal="left" vertical="center"/>
    </xf>
    <xf numFmtId="164" fontId="11" fillId="0" borderId="0" xfId="0" applyNumberFormat="1" applyFont="1" applyFill="1" applyAlignment="1" applyProtection="1">
      <alignment horizontal="left" vertical="center"/>
    </xf>
    <xf numFmtId="10" fontId="11" fillId="0" borderId="0" xfId="0" applyNumberFormat="1" applyFont="1" applyFill="1" applyAlignment="1" applyProtection="1">
      <alignment horizontal="left" vertical="center"/>
    </xf>
    <xf numFmtId="165" fontId="11" fillId="0" borderId="0" xfId="0" applyNumberFormat="1" applyFont="1" applyFill="1" applyAlignment="1" applyProtection="1">
      <alignment horizontal="left" vertical="center"/>
    </xf>
    <xf numFmtId="38" fontId="10" fillId="0" borderId="1" xfId="0" applyNumberFormat="1" applyFont="1" applyFill="1" applyBorder="1" applyAlignment="1" applyProtection="1">
      <alignment horizontal="centerContinuous" vertical="center"/>
    </xf>
    <xf numFmtId="38" fontId="11" fillId="0" borderId="1" xfId="0" applyNumberFormat="1" applyFont="1" applyFill="1" applyBorder="1" applyAlignment="1" applyProtection="1">
      <alignment horizontal="centerContinuous" vertical="center"/>
    </xf>
    <xf numFmtId="40" fontId="11" fillId="0" borderId="0" xfId="0" applyNumberFormat="1" applyFont="1" applyFill="1" applyAlignment="1" applyProtection="1">
      <alignment horizontal="left" vertical="center"/>
    </xf>
    <xf numFmtId="38" fontId="11" fillId="0" borderId="0" xfId="0" applyNumberFormat="1" applyFont="1" applyFill="1" applyAlignment="1" applyProtection="1">
      <alignment horizontal="center" vertical="center"/>
    </xf>
    <xf numFmtId="164" fontId="11" fillId="0" borderId="0" xfId="0" applyNumberFormat="1" applyFont="1" applyFill="1" applyAlignment="1" applyProtection="1">
      <alignment vertical="center"/>
    </xf>
    <xf numFmtId="10" fontId="11" fillId="0" borderId="0" xfId="0" applyNumberFormat="1" applyFont="1" applyFill="1" applyAlignment="1" applyProtection="1">
      <alignment vertical="center"/>
    </xf>
    <xf numFmtId="165" fontId="11" fillId="0" borderId="0" xfId="0" applyNumberFormat="1" applyFont="1" applyFill="1" applyAlignment="1" applyProtection="1">
      <alignment vertical="center"/>
    </xf>
    <xf numFmtId="0" fontId="3" fillId="0" borderId="0" xfId="4"/>
    <xf numFmtId="6" fontId="3" fillId="0" borderId="0" xfId="4" applyNumberFormat="1"/>
    <xf numFmtId="0" fontId="3" fillId="0" borderId="0" xfId="4" applyFont="1"/>
    <xf numFmtId="8" fontId="3" fillId="0" borderId="0" xfId="4" applyNumberFormat="1"/>
    <xf numFmtId="9" fontId="3" fillId="0" borderId="0" xfId="4" applyNumberFormat="1"/>
    <xf numFmtId="164" fontId="3" fillId="0" borderId="0" xfId="4" applyNumberFormat="1"/>
    <xf numFmtId="166" fontId="3" fillId="0" borderId="0" xfId="4" applyNumberFormat="1"/>
    <xf numFmtId="167" fontId="3" fillId="0" borderId="0" xfId="4" applyNumberFormat="1"/>
    <xf numFmtId="0" fontId="3" fillId="0" borderId="0" xfId="4" applyAlignment="1">
      <alignment horizontal="left"/>
    </xf>
    <xf numFmtId="0" fontId="1" fillId="6" borderId="3" xfId="0" applyFont="1" applyFill="1" applyBorder="1"/>
    <xf numFmtId="9" fontId="2" fillId="0" borderId="0" xfId="0" applyNumberFormat="1" applyFont="1"/>
    <xf numFmtId="8" fontId="2" fillId="0" borderId="0" xfId="0" applyNumberFormat="1" applyFont="1"/>
    <xf numFmtId="0" fontId="1" fillId="6" borderId="3" xfId="0" applyFont="1" applyFill="1" applyBorder="1" applyAlignment="1">
      <alignment horizontal="center"/>
    </xf>
    <xf numFmtId="6" fontId="2" fillId="0" borderId="0" xfId="0" applyNumberFormat="1" applyFont="1"/>
    <xf numFmtId="0" fontId="11" fillId="0" borderId="0" xfId="0" applyFont="1"/>
    <xf numFmtId="0" fontId="11" fillId="0" borderId="1" xfId="0" applyFont="1" applyBorder="1"/>
    <xf numFmtId="0" fontId="10" fillId="7" borderId="1" xfId="0" applyFont="1" applyFill="1" applyBorder="1"/>
    <xf numFmtId="0" fontId="10" fillId="7" borderId="1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8" fontId="11" fillId="0" borderId="0" xfId="3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0" fontId="2" fillId="0" borderId="0" xfId="6" applyNumberFormat="1" applyFont="1" applyFill="1" applyBorder="1"/>
    <xf numFmtId="8" fontId="11" fillId="0" borderId="3" xfId="3" applyFont="1" applyBorder="1" applyAlignment="1">
      <alignment horizontal="center"/>
    </xf>
    <xf numFmtId="164" fontId="11" fillId="0" borderId="0" xfId="3" applyNumberFormat="1" applyFont="1" applyBorder="1" applyAlignment="1">
      <alignment horizontal="center"/>
    </xf>
    <xf numFmtId="8" fontId="2" fillId="0" borderId="5" xfId="0" applyNumberFormat="1" applyFont="1" applyBorder="1" applyAlignment="1">
      <alignment horizontal="center"/>
    </xf>
    <xf numFmtId="0" fontId="1" fillId="5" borderId="6" xfId="0" applyFont="1" applyFill="1" applyBorder="1" applyAlignment="1">
      <alignment horizontal="centerContinuous"/>
    </xf>
    <xf numFmtId="0" fontId="2" fillId="0" borderId="0" xfId="0" applyFont="1" applyBorder="1"/>
    <xf numFmtId="0" fontId="2" fillId="0" borderId="0" xfId="0" applyFont="1" applyAlignment="1">
      <alignment horizontal="left" vertical="center" wrapText="1"/>
    </xf>
    <xf numFmtId="9" fontId="2" fillId="0" borderId="0" xfId="0" applyNumberFormat="1" applyFont="1" applyAlignment="1">
      <alignment horizontal="left"/>
    </xf>
    <xf numFmtId="6" fontId="2" fillId="0" borderId="0" xfId="0" applyNumberFormat="1" applyFont="1" applyAlignment="1">
      <alignment horizontal="left"/>
    </xf>
    <xf numFmtId="8" fontId="11" fillId="0" borderId="0" xfId="3" applyFont="1" applyBorder="1" applyAlignment="1">
      <alignment horizontal="left"/>
    </xf>
    <xf numFmtId="8" fontId="2" fillId="0" borderId="0" xfId="0" applyNumberFormat="1" applyFont="1" applyAlignment="1">
      <alignment horizontal="left"/>
    </xf>
    <xf numFmtId="8" fontId="2" fillId="0" borderId="0" xfId="0" applyNumberFormat="1" applyFont="1" applyAlignment="1">
      <alignment horizontal="left" vertical="center" wrapText="1"/>
    </xf>
    <xf numFmtId="0" fontId="1" fillId="5" borderId="6" xfId="0" applyFont="1" applyFill="1" applyBorder="1" applyAlignment="1">
      <alignment horizontal="left"/>
    </xf>
    <xf numFmtId="3" fontId="2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center"/>
    </xf>
    <xf numFmtId="38" fontId="10" fillId="0" borderId="1" xfId="0" applyNumberFormat="1" applyFont="1" applyFill="1" applyBorder="1" applyAlignment="1" applyProtection="1">
      <alignment horizontal="center" vertical="center"/>
    </xf>
    <xf numFmtId="0" fontId="12" fillId="0" borderId="0" xfId="4" applyFont="1" applyAlignment="1">
      <alignment horizontal="center"/>
    </xf>
    <xf numFmtId="0" fontId="12" fillId="0" borderId="0" xfId="4" applyFont="1" applyAlignment="1">
      <alignment horizontal="left"/>
    </xf>
  </cellXfs>
  <cellStyles count="7">
    <cellStyle name="Comma 2" xfId="1"/>
    <cellStyle name="Currency 2" xfId="2"/>
    <cellStyle name="Currency 3" xfId="3"/>
    <cellStyle name="Normal" xfId="0" builtinId="0"/>
    <cellStyle name="Normal 2" xfId="4"/>
    <cellStyle name="Percent 2" xfId="5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Interest &amp; Principal on Each Monthly Payment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'Problem 5'!$D$4</c:f>
              <c:strCache>
                <c:ptCount val="1"/>
                <c:pt idx="0">
                  <c:v>Interest 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val>
            <c:numRef>
              <c:f>'Problem 5'!$D$5:$D$40</c:f>
              <c:numCache>
                <c:formatCode>"$"#,##0.00_);[Red]\("$"#,##0.00\)</c:formatCode>
                <c:ptCount val="36"/>
                <c:pt idx="0">
                  <c:v>87.5</c:v>
                </c:pt>
                <c:pt idx="1">
                  <c:v>85.308670690946627</c:v>
                </c:pt>
                <c:pt idx="2">
                  <c:v>83.104558627590421</c:v>
                </c:pt>
                <c:pt idx="3">
                  <c:v>80.887589243864667</c:v>
                </c:pt>
                <c:pt idx="4">
                  <c:v>78.657687538733839</c:v>
                </c:pt>
                <c:pt idx="5">
                  <c:v>76.414778073656407</c:v>
                </c:pt>
                <c:pt idx="6">
                  <c:v>74.158784970032684</c:v>
                </c:pt>
                <c:pt idx="7">
                  <c:v>71.889631906637831</c:v>
                </c:pt>
                <c:pt idx="8">
                  <c:v>69.607242117039831</c:v>
                </c:pt>
                <c:pt idx="9">
                  <c:v>67.311538387002528</c:v>
                </c:pt>
                <c:pt idx="10">
                  <c:v>65.002443051873328</c:v>
                </c:pt>
                <c:pt idx="11">
                  <c:v>62.67987799395587</c:v>
                </c:pt>
                <c:pt idx="12">
                  <c:v>60.343764639867231</c:v>
                </c:pt>
                <c:pt idx="13">
                  <c:v>57.994023957879747</c:v>
                </c:pt>
                <c:pt idx="14">
                  <c:v>55.630576455247336</c:v>
                </c:pt>
                <c:pt idx="15">
                  <c:v>53.253342175516238</c:v>
                </c:pt>
                <c:pt idx="16">
                  <c:v>50.862240695820041</c:v>
                </c:pt>
                <c:pt idx="17">
                  <c:v>48.457191124158946</c:v>
                </c:pt>
                <c:pt idx="18">
                  <c:v>46.038112096663163</c:v>
                </c:pt>
                <c:pt idx="19">
                  <c:v>43.604921774840314</c:v>
                </c:pt>
                <c:pt idx="20">
                  <c:v>41.157537842806839</c:v>
                </c:pt>
                <c:pt idx="21">
                  <c:v>38.695877504503166</c:v>
                </c:pt>
                <c:pt idx="22">
                  <c:v>36.219857480892728</c:v>
                </c:pt>
                <c:pt idx="23">
                  <c:v>33.729394007144556</c:v>
                </c:pt>
                <c:pt idx="24">
                  <c:v>31.224402829799523</c:v>
                </c:pt>
                <c:pt idx="25">
                  <c:v>28.704799203919972</c:v>
                </c:pt>
                <c:pt idx="26">
                  <c:v>26.170497890222791</c:v>
                </c:pt>
                <c:pt idx="27">
                  <c:v>23.621413152195711</c:v>
                </c:pt>
                <c:pt idx="28">
                  <c:v>21.057458753196805</c:v>
                </c:pt>
                <c:pt idx="29">
                  <c:v>18.478547953537078</c:v>
                </c:pt>
                <c:pt idx="30">
                  <c:v>15.884593507545999</c:v>
                </c:pt>
                <c:pt idx="31">
                  <c:v>13.27550766061997</c:v>
                </c:pt>
                <c:pt idx="32">
                  <c:v>10.651202146253542</c:v>
                </c:pt>
                <c:pt idx="33">
                  <c:v>8.0115881830533091</c:v>
                </c:pt>
                <c:pt idx="34">
                  <c:v>5.3565764717344093</c:v>
                </c:pt>
                <c:pt idx="35">
                  <c:v>2.6860771920994813</c:v>
                </c:pt>
              </c:numCache>
            </c:numRef>
          </c:val>
        </c:ser>
        <c:ser>
          <c:idx val="2"/>
          <c:order val="1"/>
          <c:tx>
            <c:strRef>
              <c:f>'Problem 5'!$E$4</c:f>
              <c:strCache>
                <c:ptCount val="1"/>
                <c:pt idx="0">
                  <c:v>Principal</c:v>
                </c:pt>
              </c:strCache>
            </c:strRef>
          </c:tx>
          <c:spPr>
            <a:solidFill>
              <a:srgbClr val="B2B2B2"/>
            </a:solidFill>
          </c:spPr>
          <c:invertIfNegative val="0"/>
          <c:val>
            <c:numRef>
              <c:f>'Problem 5'!$E$5:$E$40</c:f>
              <c:numCache>
                <c:formatCode>"$"#,##0.00_);[Red]\("$"#,##0.00\)</c:formatCode>
                <c:ptCount val="36"/>
                <c:pt idx="0">
                  <c:v>375.65645298057916</c:v>
                </c:pt>
                <c:pt idx="1">
                  <c:v>377.84778228963251</c:v>
                </c:pt>
                <c:pt idx="2">
                  <c:v>380.05189435298871</c:v>
                </c:pt>
                <c:pt idx="3">
                  <c:v>382.26886373671448</c:v>
                </c:pt>
                <c:pt idx="4">
                  <c:v>384.49876544184531</c:v>
                </c:pt>
                <c:pt idx="5">
                  <c:v>386.74167490692275</c:v>
                </c:pt>
                <c:pt idx="6">
                  <c:v>388.99766801054648</c:v>
                </c:pt>
                <c:pt idx="7">
                  <c:v>391.26682107394134</c:v>
                </c:pt>
                <c:pt idx="8">
                  <c:v>393.54921086353932</c:v>
                </c:pt>
                <c:pt idx="9">
                  <c:v>395.84491459357662</c:v>
                </c:pt>
                <c:pt idx="10">
                  <c:v>398.15400992870582</c:v>
                </c:pt>
                <c:pt idx="11">
                  <c:v>400.47657498662329</c:v>
                </c:pt>
                <c:pt idx="12">
                  <c:v>402.81268834071193</c:v>
                </c:pt>
                <c:pt idx="13">
                  <c:v>405.16242902269943</c:v>
                </c:pt>
                <c:pt idx="14">
                  <c:v>407.5258765253318</c:v>
                </c:pt>
                <c:pt idx="15">
                  <c:v>409.90311080506291</c:v>
                </c:pt>
                <c:pt idx="16">
                  <c:v>412.29421228475911</c:v>
                </c:pt>
                <c:pt idx="17">
                  <c:v>414.69926185642021</c:v>
                </c:pt>
                <c:pt idx="18">
                  <c:v>417.11834088391601</c:v>
                </c:pt>
                <c:pt idx="19">
                  <c:v>419.55153120573885</c:v>
                </c:pt>
                <c:pt idx="20">
                  <c:v>421.99891513777231</c:v>
                </c:pt>
                <c:pt idx="21">
                  <c:v>424.46057547607597</c:v>
                </c:pt>
                <c:pt idx="22">
                  <c:v>426.9365954996864</c:v>
                </c:pt>
                <c:pt idx="23">
                  <c:v>429.42705897343461</c:v>
                </c:pt>
                <c:pt idx="24">
                  <c:v>431.93205015077962</c:v>
                </c:pt>
                <c:pt idx="25">
                  <c:v>434.45165377665921</c:v>
                </c:pt>
                <c:pt idx="26">
                  <c:v>436.98595509035636</c:v>
                </c:pt>
                <c:pt idx="27">
                  <c:v>439.53503982838345</c:v>
                </c:pt>
                <c:pt idx="28">
                  <c:v>442.09899422738238</c:v>
                </c:pt>
                <c:pt idx="29">
                  <c:v>444.67790502704207</c:v>
                </c:pt>
                <c:pt idx="30">
                  <c:v>447.27185947303315</c:v>
                </c:pt>
                <c:pt idx="31">
                  <c:v>449.88094531995921</c:v>
                </c:pt>
                <c:pt idx="32">
                  <c:v>452.50525083432564</c:v>
                </c:pt>
                <c:pt idx="33">
                  <c:v>455.14486479752583</c:v>
                </c:pt>
                <c:pt idx="34">
                  <c:v>457.79987650884476</c:v>
                </c:pt>
                <c:pt idx="35">
                  <c:v>460.47037578847966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85441872"/>
        <c:axId val="-1035098800"/>
      </c:barChart>
      <c:catAx>
        <c:axId val="-1085441872"/>
        <c:scaling>
          <c:orientation val="minMax"/>
        </c:scaling>
        <c:delete val="0"/>
        <c:axPos val="b"/>
        <c:majorTickMark val="out"/>
        <c:minorTickMark val="none"/>
        <c:tickLblPos val="nextTo"/>
        <c:crossAx val="-1035098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3509880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-1085441872"/>
        <c:crossesAt val="1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74083</xdr:colOff>
      <xdr:row>7</xdr:row>
      <xdr:rowOff>169333</xdr:rowOff>
    </xdr:from>
    <xdr:to>
      <xdr:col>15</xdr:col>
      <xdr:colOff>95250</xdr:colOff>
      <xdr:row>21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TRO%20Summer%202009/Mayes%20Instructor%20Manual/Loan%20calculator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oan%20calculator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Calculator"/>
    </sheetNames>
    <sheetDataSet>
      <sheetData sheetId="0">
        <row r="4">
          <cell r="E4">
            <v>180000</v>
          </cell>
        </row>
        <row r="5">
          <cell r="E5">
            <v>0.06</v>
          </cell>
        </row>
        <row r="6">
          <cell r="E6">
            <v>30</v>
          </cell>
        </row>
        <row r="7">
          <cell r="E7">
            <v>40179</v>
          </cell>
        </row>
        <row r="10">
          <cell r="E10">
            <v>360</v>
          </cell>
        </row>
        <row r="15">
          <cell r="B15" t="str">
            <v>No.</v>
          </cell>
          <cell r="C15" t="str">
            <v>Payment Date</v>
          </cell>
          <cell r="D15" t="str">
            <v>Beginning Balance</v>
          </cell>
          <cell r="E15" t="str">
            <v>Payment</v>
          </cell>
          <cell r="F15" t="str">
            <v>Principal</v>
          </cell>
          <cell r="G15" t="str">
            <v>Interest</v>
          </cell>
          <cell r="H15" t="str">
            <v>Ending Balance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Calculator"/>
    </sheetNames>
    <sheetDataSet>
      <sheetData sheetId="0">
        <row r="4">
          <cell r="E4">
            <v>180000</v>
          </cell>
        </row>
        <row r="5">
          <cell r="E5">
            <v>0.06</v>
          </cell>
        </row>
        <row r="6">
          <cell r="E6">
            <v>30</v>
          </cell>
        </row>
        <row r="7">
          <cell r="E7">
            <v>40179</v>
          </cell>
        </row>
        <row r="10">
          <cell r="E10">
            <v>360</v>
          </cell>
        </row>
        <row r="15">
          <cell r="B15" t="str">
            <v>No.</v>
          </cell>
          <cell r="C15" t="str">
            <v>Payment Date</v>
          </cell>
          <cell r="D15" t="str">
            <v>Beginning Balance</v>
          </cell>
          <cell r="E15" t="str">
            <v>Payment</v>
          </cell>
          <cell r="F15" t="str">
            <v>Principal</v>
          </cell>
          <cell r="G15" t="str">
            <v>Interest</v>
          </cell>
          <cell r="H15" t="str">
            <v>Ending Balance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A19" sqref="A19"/>
    </sheetView>
  </sheetViews>
  <sheetFormatPr defaultRowHeight="14.4" x14ac:dyDescent="0.3"/>
  <cols>
    <col min="1" max="1" width="42" customWidth="1"/>
    <col min="2" max="2" width="14.33203125" bestFit="1" customWidth="1"/>
  </cols>
  <sheetData>
    <row r="1" spans="1:2" ht="16.2" thickBot="1" x14ac:dyDescent="0.35">
      <c r="A1" s="73" t="s">
        <v>0</v>
      </c>
      <c r="B1" s="73"/>
    </row>
    <row r="2" spans="1:2" ht="15.6" x14ac:dyDescent="0.3">
      <c r="A2" s="1" t="s">
        <v>1</v>
      </c>
      <c r="B2" s="2">
        <v>125000</v>
      </c>
    </row>
    <row r="3" spans="1:2" ht="15.6" x14ac:dyDescent="0.3">
      <c r="A3" s="1" t="s">
        <v>2</v>
      </c>
      <c r="B3" s="2">
        <v>30</v>
      </c>
    </row>
    <row r="4" spans="1:2" ht="15.6" x14ac:dyDescent="0.3">
      <c r="A4" s="1" t="s">
        <v>3</v>
      </c>
      <c r="B4" s="2">
        <v>35</v>
      </c>
    </row>
    <row r="5" spans="1:2" ht="15.6" x14ac:dyDescent="0.3">
      <c r="A5" s="1" t="s">
        <v>4</v>
      </c>
      <c r="B5" s="3">
        <v>0.03</v>
      </c>
    </row>
    <row r="6" spans="1:2" ht="15.6" x14ac:dyDescent="0.3">
      <c r="A6" s="1" t="s">
        <v>5</v>
      </c>
      <c r="B6" s="3">
        <v>0.08</v>
      </c>
    </row>
    <row r="7" spans="1:2" ht="16.2" thickBot="1" x14ac:dyDescent="0.35">
      <c r="A7" s="4" t="s">
        <v>6</v>
      </c>
      <c r="B7" s="5">
        <v>0.06</v>
      </c>
    </row>
    <row r="8" spans="1:2" ht="15.6" x14ac:dyDescent="0.3">
      <c r="A8" s="1" t="s">
        <v>7</v>
      </c>
      <c r="B8" s="6">
        <f>B2/(B7-B5)*(1-((1+B5)/(1+B7))^B4)</f>
        <v>2641257.54626205</v>
      </c>
    </row>
    <row r="9" spans="1:2" ht="15.6" x14ac:dyDescent="0.3">
      <c r="A9" s="1" t="s">
        <v>8</v>
      </c>
      <c r="B9" s="7">
        <f>PV(B6,B3,0,-B8,0)</f>
        <v>262481.12952455576</v>
      </c>
    </row>
    <row r="10" spans="1:2" ht="15.6" x14ac:dyDescent="0.3">
      <c r="A10" s="1" t="s">
        <v>9</v>
      </c>
      <c r="B10" s="7">
        <f>PMT(B6,B3,0,-B8,0)</f>
        <v>23315.525048258492</v>
      </c>
    </row>
    <row r="11" spans="1:2" ht="15.6" x14ac:dyDescent="0.3">
      <c r="A11" s="8" t="s">
        <v>10</v>
      </c>
      <c r="B11" s="9">
        <f>B8*(B6-B5)/((1+B6)^B3*(1-((1+B5)/(1+B6))^B3))</f>
        <v>17296.143471486179</v>
      </c>
    </row>
    <row r="12" spans="1:2" ht="15.6" x14ac:dyDescent="0.3">
      <c r="A12" s="8" t="s">
        <v>11</v>
      </c>
      <c r="B12" s="9">
        <f>B11*((1+B6)^B3)/(B6-B5)*(1-((1+B5)/(1+B6))^B3)</f>
        <v>2641257.54626205</v>
      </c>
    </row>
  </sheetData>
  <scenarios current="3" sqref="B9 B10 B11">
    <scenario name="Low Inflation" locked="1" count="1" user="jdempere" comment="Created by Info Tech on 5/30/2009_x000a_Modified by jdempere on 12/2/2011">
      <inputCells r="B5" val="0.02" numFmtId="10"/>
    </scenario>
    <scenario name="Moderate Inflation" locked="1" count="1" user="jdempere" comment="Created by Info Tech on 5/30/2009_x000a_Modified by jdempere on 12/2/2011">
      <inputCells r="B5" val="0.03" numFmtId="10"/>
    </scenario>
    <scenario name="High Inflation" locked="1" count="1" user="jdempere" comment="Created by Info Tech on 5/30/2009_x000a_Modified by jdempere on 12/2/2011">
      <inputCells r="B5" val="0.05" numFmtId="10"/>
    </scenario>
    <scenario name="Very High Inflation" locked="1" count="1" user="jdempere" comment="Created by jdempere on 12/2/2011">
      <inputCells r="B5" val="0.07" numFmtId="10"/>
    </scenario>
  </scenarios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2"/>
  <sheetViews>
    <sheetView workbookViewId="0">
      <selection activeCell="B19" sqref="B19"/>
    </sheetView>
  </sheetViews>
  <sheetFormatPr defaultRowHeight="14.4" x14ac:dyDescent="0.3"/>
  <cols>
    <col min="1" max="1" width="1.44140625" customWidth="1"/>
    <col min="2" max="2" width="32.109375" customWidth="1"/>
    <col min="3" max="3" width="13.109375" bestFit="1" customWidth="1"/>
    <col min="4" max="4" width="18.88671875" bestFit="1" customWidth="1"/>
    <col min="5" max="5" width="16.109375" customWidth="1"/>
    <col min="6" max="6" width="14.5546875" customWidth="1"/>
    <col min="7" max="7" width="12.5546875" customWidth="1"/>
  </cols>
  <sheetData>
    <row r="1" spans="1:7" ht="15.6" x14ac:dyDescent="0.3">
      <c r="A1" s="15" t="s">
        <v>22</v>
      </c>
      <c r="B1" s="15"/>
      <c r="C1" s="20"/>
      <c r="D1" s="20"/>
      <c r="E1" s="20"/>
      <c r="F1" s="20"/>
      <c r="G1" s="20"/>
    </row>
    <row r="2" spans="1:7" ht="15.6" collapsed="1" x14ac:dyDescent="0.3">
      <c r="A2" s="14"/>
      <c r="B2" s="14"/>
      <c r="C2" s="21" t="s">
        <v>24</v>
      </c>
      <c r="D2" s="21" t="s">
        <v>16</v>
      </c>
      <c r="E2" s="21" t="s">
        <v>18</v>
      </c>
      <c r="F2" s="21" t="s">
        <v>19</v>
      </c>
      <c r="G2" s="21" t="s">
        <v>20</v>
      </c>
    </row>
    <row r="3" spans="1:7" ht="40.799999999999997" hidden="1" x14ac:dyDescent="0.3">
      <c r="A3" s="17"/>
      <c r="B3" s="17"/>
      <c r="C3" s="10"/>
      <c r="D3" s="23" t="s">
        <v>17</v>
      </c>
      <c r="E3" s="23" t="s">
        <v>17</v>
      </c>
      <c r="F3" s="23" t="s">
        <v>17</v>
      </c>
      <c r="G3" s="23" t="s">
        <v>21</v>
      </c>
    </row>
    <row r="4" spans="1:7" x14ac:dyDescent="0.3">
      <c r="A4" s="18" t="s">
        <v>23</v>
      </c>
      <c r="B4" s="18"/>
      <c r="C4" s="16"/>
      <c r="D4" s="16"/>
      <c r="E4" s="16"/>
      <c r="F4" s="16"/>
      <c r="G4" s="16"/>
    </row>
    <row r="5" spans="1:7" x14ac:dyDescent="0.3">
      <c r="A5" s="17"/>
      <c r="B5" s="17" t="s">
        <v>12</v>
      </c>
      <c r="C5" s="11">
        <v>0.08</v>
      </c>
      <c r="D5" s="22">
        <v>0.05</v>
      </c>
      <c r="E5" s="22">
        <v>7.0000000000000007E-2</v>
      </c>
      <c r="F5" s="22">
        <v>0.1</v>
      </c>
      <c r="G5" s="22">
        <v>0.17</v>
      </c>
    </row>
    <row r="6" spans="1:7" x14ac:dyDescent="0.3">
      <c r="A6" s="18" t="s">
        <v>25</v>
      </c>
      <c r="B6" s="18"/>
      <c r="C6" s="16"/>
      <c r="D6" s="16"/>
      <c r="E6" s="16"/>
      <c r="F6" s="16"/>
      <c r="G6" s="16"/>
    </row>
    <row r="7" spans="1:7" x14ac:dyDescent="0.3">
      <c r="A7" s="17"/>
      <c r="B7" s="17" t="s">
        <v>13</v>
      </c>
      <c r="C7" s="12">
        <v>262481.12952455599</v>
      </c>
      <c r="D7" s="12">
        <v>611127.43229714502</v>
      </c>
      <c r="E7" s="12">
        <v>346974.38951525098</v>
      </c>
      <c r="F7" s="12">
        <v>151366.648872071</v>
      </c>
      <c r="G7" s="12">
        <v>23781.262048870802</v>
      </c>
    </row>
    <row r="8" spans="1:7" x14ac:dyDescent="0.3">
      <c r="A8" s="17"/>
      <c r="B8" s="17" t="s">
        <v>14</v>
      </c>
      <c r="C8" s="12">
        <v>23315.5250482585</v>
      </c>
      <c r="D8" s="12">
        <v>39754.716487853897</v>
      </c>
      <c r="E8" s="12">
        <v>27961.418161497499</v>
      </c>
      <c r="F8" s="12">
        <v>16056.860322869699</v>
      </c>
      <c r="G8" s="12">
        <v>4079.5458198645601</v>
      </c>
    </row>
    <row r="9" spans="1:7" ht="15" thickBot="1" x14ac:dyDescent="0.35">
      <c r="A9" s="19"/>
      <c r="B9" s="19" t="s">
        <v>15</v>
      </c>
      <c r="C9" s="13">
        <v>17296.143471486201</v>
      </c>
      <c r="D9" s="13">
        <v>27880.778602657399</v>
      </c>
      <c r="E9" s="13">
        <v>20376.1722691303</v>
      </c>
      <c r="F9" s="13">
        <v>12307.7025462571</v>
      </c>
      <c r="G9" s="13">
        <v>3403.76425513199</v>
      </c>
    </row>
    <row r="10" spans="1:7" x14ac:dyDescent="0.3">
      <c r="A10" t="s">
        <v>26</v>
      </c>
    </row>
    <row r="11" spans="1:7" x14ac:dyDescent="0.3">
      <c r="A11" t="s">
        <v>27</v>
      </c>
    </row>
    <row r="12" spans="1:7" x14ac:dyDescent="0.3">
      <c r="A12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3"/>
  <sheetViews>
    <sheetView workbookViewId="0">
      <selection activeCell="C16" sqref="C16"/>
    </sheetView>
  </sheetViews>
  <sheetFormatPr defaultRowHeight="14.4" x14ac:dyDescent="0.3"/>
  <cols>
    <col min="1" max="1" width="2.33203125" customWidth="1"/>
    <col min="2" max="2" width="27.6640625" bestFit="1" customWidth="1"/>
    <col min="3" max="3" width="13.6640625" customWidth="1"/>
    <col min="4" max="4" width="11.109375" customWidth="1"/>
    <col min="5" max="5" width="15.33203125" bestFit="1" customWidth="1"/>
    <col min="6" max="6" width="10.109375" customWidth="1"/>
  </cols>
  <sheetData>
    <row r="1" spans="1:6" ht="15.6" x14ac:dyDescent="0.3">
      <c r="A1" s="15" t="s">
        <v>22</v>
      </c>
      <c r="B1" s="15"/>
      <c r="C1" s="20"/>
      <c r="D1" s="20"/>
      <c r="E1" s="20"/>
      <c r="F1" s="20"/>
    </row>
    <row r="2" spans="1:6" ht="15.6" collapsed="1" x14ac:dyDescent="0.3">
      <c r="A2" s="14"/>
      <c r="B2" s="14"/>
      <c r="C2" s="21" t="s">
        <v>24</v>
      </c>
      <c r="D2" s="21" t="s">
        <v>31</v>
      </c>
      <c r="E2" s="21" t="s">
        <v>32</v>
      </c>
      <c r="F2" s="21" t="s">
        <v>33</v>
      </c>
    </row>
    <row r="3" spans="1:6" ht="61.2" hidden="1" x14ac:dyDescent="0.3">
      <c r="A3" s="17"/>
      <c r="B3" s="17"/>
      <c r="C3" s="10"/>
      <c r="D3" s="23" t="s">
        <v>17</v>
      </c>
      <c r="E3" s="23" t="s">
        <v>17</v>
      </c>
      <c r="F3" s="23" t="s">
        <v>17</v>
      </c>
    </row>
    <row r="4" spans="1:6" x14ac:dyDescent="0.3">
      <c r="A4" s="18" t="s">
        <v>23</v>
      </c>
      <c r="B4" s="18"/>
      <c r="C4" s="16"/>
      <c r="D4" s="16"/>
      <c r="E4" s="16"/>
      <c r="F4" s="16"/>
    </row>
    <row r="5" spans="1:6" x14ac:dyDescent="0.3">
      <c r="A5" s="17"/>
      <c r="B5" s="17" t="s">
        <v>29</v>
      </c>
      <c r="C5" s="24">
        <v>30</v>
      </c>
      <c r="D5" s="25">
        <v>20</v>
      </c>
      <c r="E5" s="25">
        <v>30</v>
      </c>
      <c r="F5" s="25">
        <v>40</v>
      </c>
    </row>
    <row r="6" spans="1:6" x14ac:dyDescent="0.3">
      <c r="A6" s="17"/>
      <c r="B6" s="17" t="s">
        <v>30</v>
      </c>
      <c r="C6" s="24">
        <v>35</v>
      </c>
      <c r="D6" s="25">
        <v>30</v>
      </c>
      <c r="E6" s="25">
        <v>20</v>
      </c>
      <c r="F6" s="25">
        <v>15</v>
      </c>
    </row>
    <row r="7" spans="1:6" x14ac:dyDescent="0.3">
      <c r="A7" s="18" t="s">
        <v>25</v>
      </c>
      <c r="B7" s="18"/>
      <c r="C7" s="16"/>
      <c r="D7" s="16"/>
      <c r="E7" s="16"/>
      <c r="F7" s="16"/>
    </row>
    <row r="8" spans="1:6" x14ac:dyDescent="0.3">
      <c r="A8" s="17"/>
      <c r="B8" s="17" t="s">
        <v>13</v>
      </c>
      <c r="C8" s="12">
        <v>262481.12952455599</v>
      </c>
      <c r="D8" s="12">
        <v>516157.40748713602</v>
      </c>
      <c r="E8" s="12">
        <v>180885.78417692499</v>
      </c>
      <c r="F8" s="12">
        <v>67112.071056745699</v>
      </c>
    </row>
    <row r="9" spans="1:6" x14ac:dyDescent="0.3">
      <c r="A9" s="17"/>
      <c r="B9" s="17" t="s">
        <v>14</v>
      </c>
      <c r="C9" s="12">
        <v>23315.5250482585</v>
      </c>
      <c r="D9" s="12">
        <v>52571.772052995897</v>
      </c>
      <c r="E9" s="12">
        <v>16067.6199446804</v>
      </c>
      <c r="F9" s="12">
        <v>5628.0291174574804</v>
      </c>
    </row>
    <row r="10" spans="1:6" ht="15" thickBot="1" x14ac:dyDescent="0.35">
      <c r="A10" s="19"/>
      <c r="B10" s="19" t="s">
        <v>15</v>
      </c>
      <c r="C10" s="13">
        <v>17296.143471486201</v>
      </c>
      <c r="D10" s="13">
        <v>42135.156017387599</v>
      </c>
      <c r="E10" s="13">
        <v>11919.433906519</v>
      </c>
      <c r="F10" s="13">
        <v>3948.4872503581801</v>
      </c>
    </row>
    <row r="11" spans="1:6" x14ac:dyDescent="0.3">
      <c r="A11" t="s">
        <v>26</v>
      </c>
    </row>
    <row r="12" spans="1:6" x14ac:dyDescent="0.3">
      <c r="A12" t="s">
        <v>27</v>
      </c>
    </row>
    <row r="13" spans="1:6" x14ac:dyDescent="0.3">
      <c r="A13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2"/>
  <sheetViews>
    <sheetView workbookViewId="0">
      <selection activeCell="B21" sqref="B21"/>
    </sheetView>
  </sheetViews>
  <sheetFormatPr defaultRowHeight="14.4" x14ac:dyDescent="0.3"/>
  <cols>
    <col min="1" max="1" width="3" customWidth="1"/>
    <col min="2" max="2" width="27.6640625" bestFit="1" customWidth="1"/>
    <col min="3" max="3" width="13.109375" bestFit="1" customWidth="1"/>
    <col min="4" max="4" width="11.44140625" customWidth="1"/>
    <col min="5" max="5" width="16" bestFit="1" customWidth="1"/>
    <col min="6" max="6" width="11.88671875" customWidth="1"/>
    <col min="7" max="7" width="16" bestFit="1" customWidth="1"/>
  </cols>
  <sheetData>
    <row r="1" spans="1:7" ht="15.6" x14ac:dyDescent="0.3">
      <c r="A1" s="15" t="s">
        <v>22</v>
      </c>
      <c r="B1" s="15"/>
      <c r="C1" s="20"/>
      <c r="D1" s="20"/>
      <c r="E1" s="20"/>
      <c r="F1" s="20"/>
      <c r="G1" s="20"/>
    </row>
    <row r="2" spans="1:7" ht="15.6" collapsed="1" x14ac:dyDescent="0.3">
      <c r="A2" s="14"/>
      <c r="B2" s="14"/>
      <c r="C2" s="21" t="s">
        <v>24</v>
      </c>
      <c r="D2" s="21" t="s">
        <v>35</v>
      </c>
      <c r="E2" s="21" t="s">
        <v>36</v>
      </c>
      <c r="F2" s="21" t="s">
        <v>37</v>
      </c>
      <c r="G2" s="21" t="s">
        <v>38</v>
      </c>
    </row>
    <row r="3" spans="1:7" ht="61.2" hidden="1" x14ac:dyDescent="0.3">
      <c r="A3" s="17"/>
      <c r="B3" s="17"/>
      <c r="C3" s="10"/>
      <c r="D3" s="23" t="s">
        <v>17</v>
      </c>
      <c r="E3" s="23" t="s">
        <v>17</v>
      </c>
      <c r="F3" s="23" t="s">
        <v>17</v>
      </c>
      <c r="G3" s="23" t="s">
        <v>21</v>
      </c>
    </row>
    <row r="4" spans="1:7" x14ac:dyDescent="0.3">
      <c r="A4" s="18" t="s">
        <v>23</v>
      </c>
      <c r="B4" s="18"/>
      <c r="C4" s="16"/>
      <c r="D4" s="16"/>
      <c r="E4" s="16"/>
      <c r="F4" s="16"/>
      <c r="G4" s="16"/>
    </row>
    <row r="5" spans="1:7" x14ac:dyDescent="0.3">
      <c r="A5" s="17"/>
      <c r="B5" s="17" t="s">
        <v>34</v>
      </c>
      <c r="C5" s="11">
        <v>0.03</v>
      </c>
      <c r="D5" s="22">
        <v>0.02</v>
      </c>
      <c r="E5" s="22">
        <v>0.03</v>
      </c>
      <c r="F5" s="22">
        <v>0.05</v>
      </c>
      <c r="G5" s="22">
        <v>7.0000000000000007E-2</v>
      </c>
    </row>
    <row r="6" spans="1:7" x14ac:dyDescent="0.3">
      <c r="A6" s="18" t="s">
        <v>25</v>
      </c>
      <c r="B6" s="18"/>
      <c r="C6" s="16"/>
      <c r="D6" s="16"/>
      <c r="E6" s="16"/>
      <c r="F6" s="16"/>
      <c r="G6" s="16"/>
    </row>
    <row r="7" spans="1:7" x14ac:dyDescent="0.3">
      <c r="A7" s="17"/>
      <c r="B7" s="17" t="s">
        <v>13</v>
      </c>
      <c r="C7" s="12">
        <v>262481.12952455599</v>
      </c>
      <c r="D7" s="12">
        <v>229749.192151347</v>
      </c>
      <c r="E7" s="12">
        <v>262481.12952455599</v>
      </c>
      <c r="F7" s="12">
        <v>350724.49000792101</v>
      </c>
      <c r="G7" s="12">
        <v>483320.37087889999</v>
      </c>
    </row>
    <row r="8" spans="1:7" x14ac:dyDescent="0.3">
      <c r="A8" s="17"/>
      <c r="B8" s="17" t="s">
        <v>14</v>
      </c>
      <c r="C8" s="12">
        <v>23315.5250482585</v>
      </c>
      <c r="D8" s="12">
        <v>20408.031061603499</v>
      </c>
      <c r="E8" s="12">
        <v>23315.5250482585</v>
      </c>
      <c r="F8" s="12">
        <v>31153.9562734637</v>
      </c>
      <c r="G8" s="12">
        <v>42932.1080489573</v>
      </c>
    </row>
    <row r="9" spans="1:7" ht="15" thickBot="1" x14ac:dyDescent="0.35">
      <c r="A9" s="19"/>
      <c r="B9" s="19" t="s">
        <v>15</v>
      </c>
      <c r="C9" s="13">
        <v>17296.143471486201</v>
      </c>
      <c r="D9" s="13">
        <v>16811.086301334599</v>
      </c>
      <c r="E9" s="13">
        <v>17296.143471486201</v>
      </c>
      <c r="F9" s="13">
        <v>18443.105977412801</v>
      </c>
      <c r="G9" s="13">
        <v>19847.712189641901</v>
      </c>
    </row>
    <row r="10" spans="1:7" x14ac:dyDescent="0.3">
      <c r="A10" t="s">
        <v>26</v>
      </c>
    </row>
    <row r="11" spans="1:7" x14ac:dyDescent="0.3">
      <c r="A11" t="s">
        <v>27</v>
      </c>
    </row>
    <row r="12" spans="1:7" x14ac:dyDescent="0.3">
      <c r="A12" t="s">
        <v>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D32" sqref="D32"/>
    </sheetView>
  </sheetViews>
  <sheetFormatPr defaultColWidth="9.109375" defaultRowHeight="15.6" x14ac:dyDescent="0.3"/>
  <cols>
    <col min="1" max="1" width="23.109375" style="26" bestFit="1" customWidth="1"/>
    <col min="2" max="2" width="12.44140625" style="26" bestFit="1" customWidth="1"/>
    <col min="3" max="3" width="3.33203125" style="26" customWidth="1"/>
    <col min="4" max="4" width="12.44140625" style="26" bestFit="1" customWidth="1"/>
    <col min="5" max="6" width="18.88671875" style="26" bestFit="1" customWidth="1"/>
    <col min="7" max="7" width="17.88671875" style="26" bestFit="1" customWidth="1"/>
    <col min="8" max="8" width="14.44140625" style="26" bestFit="1" customWidth="1"/>
    <col min="9" max="9" width="6.88671875" style="26" bestFit="1" customWidth="1"/>
    <col min="10" max="16384" width="9.109375" style="26"/>
  </cols>
  <sheetData>
    <row r="1" spans="1:4" ht="16.2" thickBot="1" x14ac:dyDescent="0.35">
      <c r="A1" s="74" t="s">
        <v>39</v>
      </c>
      <c r="B1" s="74"/>
      <c r="D1" s="33" t="s">
        <v>64</v>
      </c>
    </row>
    <row r="2" spans="1:4" x14ac:dyDescent="0.3">
      <c r="A2" s="26" t="s">
        <v>40</v>
      </c>
      <c r="B2" s="27">
        <v>15000</v>
      </c>
      <c r="D2" s="34">
        <f>B2</f>
        <v>15000</v>
      </c>
    </row>
    <row r="3" spans="1:4" x14ac:dyDescent="0.3">
      <c r="A3" s="26" t="s">
        <v>41</v>
      </c>
      <c r="B3" s="27">
        <v>150000</v>
      </c>
      <c r="D3" s="34">
        <f>FV(D13,D11,0,-B3,0)</f>
        <v>163909.04999999999</v>
      </c>
    </row>
    <row r="4" spans="1:4" x14ac:dyDescent="0.3">
      <c r="A4" s="26" t="s">
        <v>42</v>
      </c>
      <c r="B4" s="27">
        <f>B3-B6</f>
        <v>127500</v>
      </c>
      <c r="D4" s="34">
        <f>D3-D7</f>
        <v>163909.00999999998</v>
      </c>
    </row>
    <row r="5" spans="1:4" x14ac:dyDescent="0.3">
      <c r="A5" s="26" t="s">
        <v>60</v>
      </c>
      <c r="B5" s="28">
        <v>0.15</v>
      </c>
      <c r="D5" s="35">
        <f>B5</f>
        <v>0.15</v>
      </c>
    </row>
    <row r="6" spans="1:4" x14ac:dyDescent="0.3">
      <c r="A6" s="26" t="s">
        <v>61</v>
      </c>
      <c r="B6" s="27">
        <f>B5*B3</f>
        <v>22500</v>
      </c>
      <c r="D6" s="34">
        <f>D5*D3</f>
        <v>24586.357499999998</v>
      </c>
    </row>
    <row r="7" spans="1:4" x14ac:dyDescent="0.3">
      <c r="A7" s="26" t="s">
        <v>62</v>
      </c>
      <c r="B7" s="28">
        <v>0.04</v>
      </c>
      <c r="D7" s="35">
        <f>B7</f>
        <v>0.04</v>
      </c>
    </row>
    <row r="8" spans="1:4" x14ac:dyDescent="0.3">
      <c r="A8" s="26" t="s">
        <v>63</v>
      </c>
      <c r="B8" s="27">
        <f>B4*B7</f>
        <v>5100</v>
      </c>
      <c r="D8" s="34">
        <f>D7*D4</f>
        <v>6556.3603999999996</v>
      </c>
    </row>
    <row r="9" spans="1:4" x14ac:dyDescent="0.3">
      <c r="A9" s="26" t="s">
        <v>44</v>
      </c>
      <c r="B9" s="27">
        <f>B8+B6</f>
        <v>27600</v>
      </c>
      <c r="D9" s="34">
        <f>D8+D6</f>
        <v>31142.717899999996</v>
      </c>
    </row>
    <row r="10" spans="1:4" x14ac:dyDescent="0.3">
      <c r="A10" s="26" t="s">
        <v>45</v>
      </c>
      <c r="B10" s="28">
        <v>7.0000000000000007E-2</v>
      </c>
      <c r="D10" s="35">
        <v>7.0000000000000007E-2</v>
      </c>
    </row>
    <row r="11" spans="1:4" x14ac:dyDescent="0.3">
      <c r="A11" s="26" t="s">
        <v>46</v>
      </c>
      <c r="B11" s="29">
        <f>NPER(B10,0,-B2,B9)</f>
        <v>9.0123817926526399</v>
      </c>
      <c r="D11" s="36">
        <v>3</v>
      </c>
    </row>
    <row r="12" spans="1:4" x14ac:dyDescent="0.3">
      <c r="A12" s="26" t="s">
        <v>47</v>
      </c>
      <c r="B12" s="27">
        <f>-PMT(B10/12,3*12,-B2,B9,0)</f>
        <v>228.05142050368642</v>
      </c>
      <c r="D12" s="34">
        <f>-PMT(D10/12,D11*12,-D2,D9,0)</f>
        <v>316.77440985200673</v>
      </c>
    </row>
    <row r="13" spans="1:4" x14ac:dyDescent="0.3">
      <c r="A13" s="26" t="s">
        <v>48</v>
      </c>
      <c r="B13" s="28">
        <v>0.03</v>
      </c>
      <c r="D13" s="35">
        <v>0.03</v>
      </c>
    </row>
    <row r="15" spans="1:4" ht="16.2" thickBot="1" x14ac:dyDescent="0.35">
      <c r="A15" s="30" t="s">
        <v>49</v>
      </c>
      <c r="B15" s="31"/>
      <c r="D15" s="33" t="s">
        <v>65</v>
      </c>
    </row>
    <row r="16" spans="1:4" x14ac:dyDescent="0.3">
      <c r="A16" s="26" t="s">
        <v>50</v>
      </c>
      <c r="B16" s="28">
        <v>4.4999999999999998E-2</v>
      </c>
      <c r="D16" s="28">
        <f>B16</f>
        <v>4.4999999999999998E-2</v>
      </c>
    </row>
    <row r="17" spans="1:4" x14ac:dyDescent="0.3">
      <c r="A17" s="26" t="s">
        <v>51</v>
      </c>
      <c r="B17" s="26">
        <v>15</v>
      </c>
      <c r="D17" s="26">
        <f>B17</f>
        <v>15</v>
      </c>
    </row>
    <row r="18" spans="1:4" x14ac:dyDescent="0.3">
      <c r="A18" s="26" t="s">
        <v>52</v>
      </c>
      <c r="B18" s="27">
        <f>PMT(B16/12,B17*12,-B4,0)</f>
        <v>975.36644323715086</v>
      </c>
      <c r="D18" s="27">
        <f>PMT(D16/12,D17*12,-D4)</f>
        <v>1253.8929262605693</v>
      </c>
    </row>
    <row r="19" spans="1:4" x14ac:dyDescent="0.3">
      <c r="A19" s="26" t="s">
        <v>53</v>
      </c>
      <c r="B19" s="27">
        <f>B18*12</f>
        <v>11704.397318845811</v>
      </c>
      <c r="D19" s="27">
        <f>D18*12</f>
        <v>15046.715115126832</v>
      </c>
    </row>
    <row r="20" spans="1:4" x14ac:dyDescent="0.3">
      <c r="A20" s="26" t="s">
        <v>54</v>
      </c>
      <c r="B20" s="27">
        <f>B21-B4</f>
        <v>48065.959782687161</v>
      </c>
      <c r="D20" s="27">
        <f>D21-D4</f>
        <v>61791.716726902494</v>
      </c>
    </row>
    <row r="21" spans="1:4" x14ac:dyDescent="0.3">
      <c r="A21" s="26" t="s">
        <v>55</v>
      </c>
      <c r="B21" s="27">
        <f>B17*12*B18</f>
        <v>175565.95978268716</v>
      </c>
      <c r="D21" s="27">
        <f>D17*12*D18</f>
        <v>225700.72672690247</v>
      </c>
    </row>
    <row r="22" spans="1:4" x14ac:dyDescent="0.3">
      <c r="A22" s="26" t="s">
        <v>56</v>
      </c>
      <c r="B22" s="27">
        <f>B18-B23</f>
        <v>497.24144323715086</v>
      </c>
      <c r="D22" s="27">
        <f>D18-D23</f>
        <v>639.23413876056941</v>
      </c>
    </row>
    <row r="23" spans="1:4" x14ac:dyDescent="0.3">
      <c r="A23" s="26" t="s">
        <v>57</v>
      </c>
      <c r="B23" s="27">
        <f>B4*(B16/12)</f>
        <v>478.125</v>
      </c>
      <c r="D23" s="27">
        <f>D4*(D16/12)</f>
        <v>614.6587874999999</v>
      </c>
    </row>
    <row r="24" spans="1:4" x14ac:dyDescent="0.3">
      <c r="A24" s="26" t="s">
        <v>58</v>
      </c>
      <c r="B24" s="32">
        <f>PPMT(B16/12,50,B17*12,-B4,0,0)</f>
        <v>597.33735472120645</v>
      </c>
      <c r="D24" s="32">
        <f>PPMT(D16/12,50,D17*12,-D4,0,0)</f>
        <v>767.91352508526882</v>
      </c>
    </row>
    <row r="25" spans="1:4" x14ac:dyDescent="0.3">
      <c r="A25" s="26" t="s">
        <v>59</v>
      </c>
      <c r="B25" s="32">
        <f>IPMT(B16/12,50,B17*12,-B4,0,0)</f>
        <v>378.02908851594458</v>
      </c>
      <c r="D25" s="32">
        <f>IPMT(D16/12,50,D17*12,-D4,0,0)</f>
        <v>485.97940117530067</v>
      </c>
    </row>
    <row r="26" spans="1:4" x14ac:dyDescent="0.3">
      <c r="B26" s="32"/>
      <c r="C26" s="32"/>
    </row>
  </sheetData>
  <mergeCells count="1">
    <mergeCell ref="A1:B1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activeCell="A12" sqref="A12"/>
    </sheetView>
  </sheetViews>
  <sheetFormatPr defaultRowHeight="13.8" x14ac:dyDescent="0.25"/>
  <cols>
    <col min="1" max="1" width="28" style="37" bestFit="1" customWidth="1"/>
    <col min="2" max="2" width="11.33203125" style="37" bestFit="1" customWidth="1"/>
    <col min="3" max="3" width="9.109375" style="37"/>
    <col min="4" max="4" width="31.33203125" style="37" customWidth="1"/>
    <col min="5" max="5" width="13.44140625" style="37" bestFit="1" customWidth="1"/>
    <col min="6" max="251" width="9.109375" style="37"/>
    <col min="252" max="252" width="35.5546875" style="37" bestFit="1" customWidth="1"/>
    <col min="253" max="253" width="11.6640625" style="37" bestFit="1" customWidth="1"/>
    <col min="254" max="254" width="9.6640625" style="37" bestFit="1" customWidth="1"/>
    <col min="255" max="255" width="24.109375" style="37" bestFit="1" customWidth="1"/>
    <col min="256" max="256" width="12.44140625" style="37" bestFit="1" customWidth="1"/>
    <col min="257" max="507" width="9.109375" style="37"/>
    <col min="508" max="508" width="35.5546875" style="37" bestFit="1" customWidth="1"/>
    <col min="509" max="509" width="11.6640625" style="37" bestFit="1" customWidth="1"/>
    <col min="510" max="510" width="9.6640625" style="37" bestFit="1" customWidth="1"/>
    <col min="511" max="511" width="24.109375" style="37" bestFit="1" customWidth="1"/>
    <col min="512" max="512" width="12.44140625" style="37" bestFit="1" customWidth="1"/>
    <col min="513" max="763" width="9.109375" style="37"/>
    <col min="764" max="764" width="35.5546875" style="37" bestFit="1" customWidth="1"/>
    <col min="765" max="765" width="11.6640625" style="37" bestFit="1" customWidth="1"/>
    <col min="766" max="766" width="9.6640625" style="37" bestFit="1" customWidth="1"/>
    <col min="767" max="767" width="24.109375" style="37" bestFit="1" customWidth="1"/>
    <col min="768" max="768" width="12.44140625" style="37" bestFit="1" customWidth="1"/>
    <col min="769" max="1019" width="9.109375" style="37"/>
    <col min="1020" max="1020" width="35.5546875" style="37" bestFit="1" customWidth="1"/>
    <col min="1021" max="1021" width="11.6640625" style="37" bestFit="1" customWidth="1"/>
    <col min="1022" max="1022" width="9.6640625" style="37" bestFit="1" customWidth="1"/>
    <col min="1023" max="1023" width="24.109375" style="37" bestFit="1" customWidth="1"/>
    <col min="1024" max="1024" width="12.44140625" style="37" bestFit="1" customWidth="1"/>
    <col min="1025" max="1275" width="9.109375" style="37"/>
    <col min="1276" max="1276" width="35.5546875" style="37" bestFit="1" customWidth="1"/>
    <col min="1277" max="1277" width="11.6640625" style="37" bestFit="1" customWidth="1"/>
    <col min="1278" max="1278" width="9.6640625" style="37" bestFit="1" customWidth="1"/>
    <col min="1279" max="1279" width="24.109375" style="37" bestFit="1" customWidth="1"/>
    <col min="1280" max="1280" width="12.44140625" style="37" bestFit="1" customWidth="1"/>
    <col min="1281" max="1531" width="9.109375" style="37"/>
    <col min="1532" max="1532" width="35.5546875" style="37" bestFit="1" customWidth="1"/>
    <col min="1533" max="1533" width="11.6640625" style="37" bestFit="1" customWidth="1"/>
    <col min="1534" max="1534" width="9.6640625" style="37" bestFit="1" customWidth="1"/>
    <col min="1535" max="1535" width="24.109375" style="37" bestFit="1" customWidth="1"/>
    <col min="1536" max="1536" width="12.44140625" style="37" bestFit="1" customWidth="1"/>
    <col min="1537" max="1787" width="9.109375" style="37"/>
    <col min="1788" max="1788" width="35.5546875" style="37" bestFit="1" customWidth="1"/>
    <col min="1789" max="1789" width="11.6640625" style="37" bestFit="1" customWidth="1"/>
    <col min="1790" max="1790" width="9.6640625" style="37" bestFit="1" customWidth="1"/>
    <col min="1791" max="1791" width="24.109375" style="37" bestFit="1" customWidth="1"/>
    <col min="1792" max="1792" width="12.44140625" style="37" bestFit="1" customWidth="1"/>
    <col min="1793" max="2043" width="9.109375" style="37"/>
    <col min="2044" max="2044" width="35.5546875" style="37" bestFit="1" customWidth="1"/>
    <col min="2045" max="2045" width="11.6640625" style="37" bestFit="1" customWidth="1"/>
    <col min="2046" max="2046" width="9.6640625" style="37" bestFit="1" customWidth="1"/>
    <col min="2047" max="2047" width="24.109375" style="37" bestFit="1" customWidth="1"/>
    <col min="2048" max="2048" width="12.44140625" style="37" bestFit="1" customWidth="1"/>
    <col min="2049" max="2299" width="9.109375" style="37"/>
    <col min="2300" max="2300" width="35.5546875" style="37" bestFit="1" customWidth="1"/>
    <col min="2301" max="2301" width="11.6640625" style="37" bestFit="1" customWidth="1"/>
    <col min="2302" max="2302" width="9.6640625" style="37" bestFit="1" customWidth="1"/>
    <col min="2303" max="2303" width="24.109375" style="37" bestFit="1" customWidth="1"/>
    <col min="2304" max="2304" width="12.44140625" style="37" bestFit="1" customWidth="1"/>
    <col min="2305" max="2555" width="9.109375" style="37"/>
    <col min="2556" max="2556" width="35.5546875" style="37" bestFit="1" customWidth="1"/>
    <col min="2557" max="2557" width="11.6640625" style="37" bestFit="1" customWidth="1"/>
    <col min="2558" max="2558" width="9.6640625" style="37" bestFit="1" customWidth="1"/>
    <col min="2559" max="2559" width="24.109375" style="37" bestFit="1" customWidth="1"/>
    <col min="2560" max="2560" width="12.44140625" style="37" bestFit="1" customWidth="1"/>
    <col min="2561" max="2811" width="9.109375" style="37"/>
    <col min="2812" max="2812" width="35.5546875" style="37" bestFit="1" customWidth="1"/>
    <col min="2813" max="2813" width="11.6640625" style="37" bestFit="1" customWidth="1"/>
    <col min="2814" max="2814" width="9.6640625" style="37" bestFit="1" customWidth="1"/>
    <col min="2815" max="2815" width="24.109375" style="37" bestFit="1" customWidth="1"/>
    <col min="2816" max="2816" width="12.44140625" style="37" bestFit="1" customWidth="1"/>
    <col min="2817" max="3067" width="9.109375" style="37"/>
    <col min="3068" max="3068" width="35.5546875" style="37" bestFit="1" customWidth="1"/>
    <col min="3069" max="3069" width="11.6640625" style="37" bestFit="1" customWidth="1"/>
    <col min="3070" max="3070" width="9.6640625" style="37" bestFit="1" customWidth="1"/>
    <col min="3071" max="3071" width="24.109375" style="37" bestFit="1" customWidth="1"/>
    <col min="3072" max="3072" width="12.44140625" style="37" bestFit="1" customWidth="1"/>
    <col min="3073" max="3323" width="9.109375" style="37"/>
    <col min="3324" max="3324" width="35.5546875" style="37" bestFit="1" customWidth="1"/>
    <col min="3325" max="3325" width="11.6640625" style="37" bestFit="1" customWidth="1"/>
    <col min="3326" max="3326" width="9.6640625" style="37" bestFit="1" customWidth="1"/>
    <col min="3327" max="3327" width="24.109375" style="37" bestFit="1" customWidth="1"/>
    <col min="3328" max="3328" width="12.44140625" style="37" bestFit="1" customWidth="1"/>
    <col min="3329" max="3579" width="9.109375" style="37"/>
    <col min="3580" max="3580" width="35.5546875" style="37" bestFit="1" customWidth="1"/>
    <col min="3581" max="3581" width="11.6640625" style="37" bestFit="1" customWidth="1"/>
    <col min="3582" max="3582" width="9.6640625" style="37" bestFit="1" customWidth="1"/>
    <col min="3583" max="3583" width="24.109375" style="37" bestFit="1" customWidth="1"/>
    <col min="3584" max="3584" width="12.44140625" style="37" bestFit="1" customWidth="1"/>
    <col min="3585" max="3835" width="9.109375" style="37"/>
    <col min="3836" max="3836" width="35.5546875" style="37" bestFit="1" customWidth="1"/>
    <col min="3837" max="3837" width="11.6640625" style="37" bestFit="1" customWidth="1"/>
    <col min="3838" max="3838" width="9.6640625" style="37" bestFit="1" customWidth="1"/>
    <col min="3839" max="3839" width="24.109375" style="37" bestFit="1" customWidth="1"/>
    <col min="3840" max="3840" width="12.44140625" style="37" bestFit="1" customWidth="1"/>
    <col min="3841" max="4091" width="9.109375" style="37"/>
    <col min="4092" max="4092" width="35.5546875" style="37" bestFit="1" customWidth="1"/>
    <col min="4093" max="4093" width="11.6640625" style="37" bestFit="1" customWidth="1"/>
    <col min="4094" max="4094" width="9.6640625" style="37" bestFit="1" customWidth="1"/>
    <col min="4095" max="4095" width="24.109375" style="37" bestFit="1" customWidth="1"/>
    <col min="4096" max="4096" width="12.44140625" style="37" bestFit="1" customWidth="1"/>
    <col min="4097" max="4347" width="9.109375" style="37"/>
    <col min="4348" max="4348" width="35.5546875" style="37" bestFit="1" customWidth="1"/>
    <col min="4349" max="4349" width="11.6640625" style="37" bestFit="1" customWidth="1"/>
    <col min="4350" max="4350" width="9.6640625" style="37" bestFit="1" customWidth="1"/>
    <col min="4351" max="4351" width="24.109375" style="37" bestFit="1" customWidth="1"/>
    <col min="4352" max="4352" width="12.44140625" style="37" bestFit="1" customWidth="1"/>
    <col min="4353" max="4603" width="9.109375" style="37"/>
    <col min="4604" max="4604" width="35.5546875" style="37" bestFit="1" customWidth="1"/>
    <col min="4605" max="4605" width="11.6640625" style="37" bestFit="1" customWidth="1"/>
    <col min="4606" max="4606" width="9.6640625" style="37" bestFit="1" customWidth="1"/>
    <col min="4607" max="4607" width="24.109375" style="37" bestFit="1" customWidth="1"/>
    <col min="4608" max="4608" width="12.44140625" style="37" bestFit="1" customWidth="1"/>
    <col min="4609" max="4859" width="9.109375" style="37"/>
    <col min="4860" max="4860" width="35.5546875" style="37" bestFit="1" customWidth="1"/>
    <col min="4861" max="4861" width="11.6640625" style="37" bestFit="1" customWidth="1"/>
    <col min="4862" max="4862" width="9.6640625" style="37" bestFit="1" customWidth="1"/>
    <col min="4863" max="4863" width="24.109375" style="37" bestFit="1" customWidth="1"/>
    <col min="4864" max="4864" width="12.44140625" style="37" bestFit="1" customWidth="1"/>
    <col min="4865" max="5115" width="9.109375" style="37"/>
    <col min="5116" max="5116" width="35.5546875" style="37" bestFit="1" customWidth="1"/>
    <col min="5117" max="5117" width="11.6640625" style="37" bestFit="1" customWidth="1"/>
    <col min="5118" max="5118" width="9.6640625" style="37" bestFit="1" customWidth="1"/>
    <col min="5119" max="5119" width="24.109375" style="37" bestFit="1" customWidth="1"/>
    <col min="5120" max="5120" width="12.44140625" style="37" bestFit="1" customWidth="1"/>
    <col min="5121" max="5371" width="9.109375" style="37"/>
    <col min="5372" max="5372" width="35.5546875" style="37" bestFit="1" customWidth="1"/>
    <col min="5373" max="5373" width="11.6640625" style="37" bestFit="1" customWidth="1"/>
    <col min="5374" max="5374" width="9.6640625" style="37" bestFit="1" customWidth="1"/>
    <col min="5375" max="5375" width="24.109375" style="37" bestFit="1" customWidth="1"/>
    <col min="5376" max="5376" width="12.44140625" style="37" bestFit="1" customWidth="1"/>
    <col min="5377" max="5627" width="9.109375" style="37"/>
    <col min="5628" max="5628" width="35.5546875" style="37" bestFit="1" customWidth="1"/>
    <col min="5629" max="5629" width="11.6640625" style="37" bestFit="1" customWidth="1"/>
    <col min="5630" max="5630" width="9.6640625" style="37" bestFit="1" customWidth="1"/>
    <col min="5631" max="5631" width="24.109375" style="37" bestFit="1" customWidth="1"/>
    <col min="5632" max="5632" width="12.44140625" style="37" bestFit="1" customWidth="1"/>
    <col min="5633" max="5883" width="9.109375" style="37"/>
    <col min="5884" max="5884" width="35.5546875" style="37" bestFit="1" customWidth="1"/>
    <col min="5885" max="5885" width="11.6640625" style="37" bestFit="1" customWidth="1"/>
    <col min="5886" max="5886" width="9.6640625" style="37" bestFit="1" customWidth="1"/>
    <col min="5887" max="5887" width="24.109375" style="37" bestFit="1" customWidth="1"/>
    <col min="5888" max="5888" width="12.44140625" style="37" bestFit="1" customWidth="1"/>
    <col min="5889" max="6139" width="9.109375" style="37"/>
    <col min="6140" max="6140" width="35.5546875" style="37" bestFit="1" customWidth="1"/>
    <col min="6141" max="6141" width="11.6640625" style="37" bestFit="1" customWidth="1"/>
    <col min="6142" max="6142" width="9.6640625" style="37" bestFit="1" customWidth="1"/>
    <col min="6143" max="6143" width="24.109375" style="37" bestFit="1" customWidth="1"/>
    <col min="6144" max="6144" width="12.44140625" style="37" bestFit="1" customWidth="1"/>
    <col min="6145" max="6395" width="9.109375" style="37"/>
    <col min="6396" max="6396" width="35.5546875" style="37" bestFit="1" customWidth="1"/>
    <col min="6397" max="6397" width="11.6640625" style="37" bestFit="1" customWidth="1"/>
    <col min="6398" max="6398" width="9.6640625" style="37" bestFit="1" customWidth="1"/>
    <col min="6399" max="6399" width="24.109375" style="37" bestFit="1" customWidth="1"/>
    <col min="6400" max="6400" width="12.44140625" style="37" bestFit="1" customWidth="1"/>
    <col min="6401" max="6651" width="9.109375" style="37"/>
    <col min="6652" max="6652" width="35.5546875" style="37" bestFit="1" customWidth="1"/>
    <col min="6653" max="6653" width="11.6640625" style="37" bestFit="1" customWidth="1"/>
    <col min="6654" max="6654" width="9.6640625" style="37" bestFit="1" customWidth="1"/>
    <col min="6655" max="6655" width="24.109375" style="37" bestFit="1" customWidth="1"/>
    <col min="6656" max="6656" width="12.44140625" style="37" bestFit="1" customWidth="1"/>
    <col min="6657" max="6907" width="9.109375" style="37"/>
    <col min="6908" max="6908" width="35.5546875" style="37" bestFit="1" customWidth="1"/>
    <col min="6909" max="6909" width="11.6640625" style="37" bestFit="1" customWidth="1"/>
    <col min="6910" max="6910" width="9.6640625" style="37" bestFit="1" customWidth="1"/>
    <col min="6911" max="6911" width="24.109375" style="37" bestFit="1" customWidth="1"/>
    <col min="6912" max="6912" width="12.44140625" style="37" bestFit="1" customWidth="1"/>
    <col min="6913" max="7163" width="9.109375" style="37"/>
    <col min="7164" max="7164" width="35.5546875" style="37" bestFit="1" customWidth="1"/>
    <col min="7165" max="7165" width="11.6640625" style="37" bestFit="1" customWidth="1"/>
    <col min="7166" max="7166" width="9.6640625" style="37" bestFit="1" customWidth="1"/>
    <col min="7167" max="7167" width="24.109375" style="37" bestFit="1" customWidth="1"/>
    <col min="7168" max="7168" width="12.44140625" style="37" bestFit="1" customWidth="1"/>
    <col min="7169" max="7419" width="9.109375" style="37"/>
    <col min="7420" max="7420" width="35.5546875" style="37" bestFit="1" customWidth="1"/>
    <col min="7421" max="7421" width="11.6640625" style="37" bestFit="1" customWidth="1"/>
    <col min="7422" max="7422" width="9.6640625" style="37" bestFit="1" customWidth="1"/>
    <col min="7423" max="7423" width="24.109375" style="37" bestFit="1" customWidth="1"/>
    <col min="7424" max="7424" width="12.44140625" style="37" bestFit="1" customWidth="1"/>
    <col min="7425" max="7675" width="9.109375" style="37"/>
    <col min="7676" max="7676" width="35.5546875" style="37" bestFit="1" customWidth="1"/>
    <col min="7677" max="7677" width="11.6640625" style="37" bestFit="1" customWidth="1"/>
    <col min="7678" max="7678" width="9.6640625" style="37" bestFit="1" customWidth="1"/>
    <col min="7679" max="7679" width="24.109375" style="37" bestFit="1" customWidth="1"/>
    <col min="7680" max="7680" width="12.44140625" style="37" bestFit="1" customWidth="1"/>
    <col min="7681" max="7931" width="9.109375" style="37"/>
    <col min="7932" max="7932" width="35.5546875" style="37" bestFit="1" customWidth="1"/>
    <col min="7933" max="7933" width="11.6640625" style="37" bestFit="1" customWidth="1"/>
    <col min="7934" max="7934" width="9.6640625" style="37" bestFit="1" customWidth="1"/>
    <col min="7935" max="7935" width="24.109375" style="37" bestFit="1" customWidth="1"/>
    <col min="7936" max="7936" width="12.44140625" style="37" bestFit="1" customWidth="1"/>
    <col min="7937" max="8187" width="9.109375" style="37"/>
    <col min="8188" max="8188" width="35.5546875" style="37" bestFit="1" customWidth="1"/>
    <col min="8189" max="8189" width="11.6640625" style="37" bestFit="1" customWidth="1"/>
    <col min="8190" max="8190" width="9.6640625" style="37" bestFit="1" customWidth="1"/>
    <col min="8191" max="8191" width="24.109375" style="37" bestFit="1" customWidth="1"/>
    <col min="8192" max="8192" width="12.44140625" style="37" bestFit="1" customWidth="1"/>
    <col min="8193" max="8443" width="9.109375" style="37"/>
    <col min="8444" max="8444" width="35.5546875" style="37" bestFit="1" customWidth="1"/>
    <col min="8445" max="8445" width="11.6640625" style="37" bestFit="1" customWidth="1"/>
    <col min="8446" max="8446" width="9.6640625" style="37" bestFit="1" customWidth="1"/>
    <col min="8447" max="8447" width="24.109375" style="37" bestFit="1" customWidth="1"/>
    <col min="8448" max="8448" width="12.44140625" style="37" bestFit="1" customWidth="1"/>
    <col min="8449" max="8699" width="9.109375" style="37"/>
    <col min="8700" max="8700" width="35.5546875" style="37" bestFit="1" customWidth="1"/>
    <col min="8701" max="8701" width="11.6640625" style="37" bestFit="1" customWidth="1"/>
    <col min="8702" max="8702" width="9.6640625" style="37" bestFit="1" customWidth="1"/>
    <col min="8703" max="8703" width="24.109375" style="37" bestFit="1" customWidth="1"/>
    <col min="8704" max="8704" width="12.44140625" style="37" bestFit="1" customWidth="1"/>
    <col min="8705" max="8955" width="9.109375" style="37"/>
    <col min="8956" max="8956" width="35.5546875" style="37" bestFit="1" customWidth="1"/>
    <col min="8957" max="8957" width="11.6640625" style="37" bestFit="1" customWidth="1"/>
    <col min="8958" max="8958" width="9.6640625" style="37" bestFit="1" customWidth="1"/>
    <col min="8959" max="8959" width="24.109375" style="37" bestFit="1" customWidth="1"/>
    <col min="8960" max="8960" width="12.44140625" style="37" bestFit="1" customWidth="1"/>
    <col min="8961" max="9211" width="9.109375" style="37"/>
    <col min="9212" max="9212" width="35.5546875" style="37" bestFit="1" customWidth="1"/>
    <col min="9213" max="9213" width="11.6640625" style="37" bestFit="1" customWidth="1"/>
    <col min="9214" max="9214" width="9.6640625" style="37" bestFit="1" customWidth="1"/>
    <col min="9215" max="9215" width="24.109375" style="37" bestFit="1" customWidth="1"/>
    <col min="9216" max="9216" width="12.44140625" style="37" bestFit="1" customWidth="1"/>
    <col min="9217" max="9467" width="9.109375" style="37"/>
    <col min="9468" max="9468" width="35.5546875" style="37" bestFit="1" customWidth="1"/>
    <col min="9469" max="9469" width="11.6640625" style="37" bestFit="1" customWidth="1"/>
    <col min="9470" max="9470" width="9.6640625" style="37" bestFit="1" customWidth="1"/>
    <col min="9471" max="9471" width="24.109375" style="37" bestFit="1" customWidth="1"/>
    <col min="9472" max="9472" width="12.44140625" style="37" bestFit="1" customWidth="1"/>
    <col min="9473" max="9723" width="9.109375" style="37"/>
    <col min="9724" max="9724" width="35.5546875" style="37" bestFit="1" customWidth="1"/>
    <col min="9725" max="9725" width="11.6640625" style="37" bestFit="1" customWidth="1"/>
    <col min="9726" max="9726" width="9.6640625" style="37" bestFit="1" customWidth="1"/>
    <col min="9727" max="9727" width="24.109375" style="37" bestFit="1" customWidth="1"/>
    <col min="9728" max="9728" width="12.44140625" style="37" bestFit="1" customWidth="1"/>
    <col min="9729" max="9979" width="9.109375" style="37"/>
    <col min="9980" max="9980" width="35.5546875" style="37" bestFit="1" customWidth="1"/>
    <col min="9981" max="9981" width="11.6640625" style="37" bestFit="1" customWidth="1"/>
    <col min="9982" max="9982" width="9.6640625" style="37" bestFit="1" customWidth="1"/>
    <col min="9983" max="9983" width="24.109375" style="37" bestFit="1" customWidth="1"/>
    <col min="9984" max="9984" width="12.44140625" style="37" bestFit="1" customWidth="1"/>
    <col min="9985" max="10235" width="9.109375" style="37"/>
    <col min="10236" max="10236" width="35.5546875" style="37" bestFit="1" customWidth="1"/>
    <col min="10237" max="10237" width="11.6640625" style="37" bestFit="1" customWidth="1"/>
    <col min="10238" max="10238" width="9.6640625" style="37" bestFit="1" customWidth="1"/>
    <col min="10239" max="10239" width="24.109375" style="37" bestFit="1" customWidth="1"/>
    <col min="10240" max="10240" width="12.44140625" style="37" bestFit="1" customWidth="1"/>
    <col min="10241" max="10491" width="9.109375" style="37"/>
    <col min="10492" max="10492" width="35.5546875" style="37" bestFit="1" customWidth="1"/>
    <col min="10493" max="10493" width="11.6640625" style="37" bestFit="1" customWidth="1"/>
    <col min="10494" max="10494" width="9.6640625" style="37" bestFit="1" customWidth="1"/>
    <col min="10495" max="10495" width="24.109375" style="37" bestFit="1" customWidth="1"/>
    <col min="10496" max="10496" width="12.44140625" style="37" bestFit="1" customWidth="1"/>
    <col min="10497" max="10747" width="9.109375" style="37"/>
    <col min="10748" max="10748" width="35.5546875" style="37" bestFit="1" customWidth="1"/>
    <col min="10749" max="10749" width="11.6640625" style="37" bestFit="1" customWidth="1"/>
    <col min="10750" max="10750" width="9.6640625" style="37" bestFit="1" customWidth="1"/>
    <col min="10751" max="10751" width="24.109375" style="37" bestFit="1" customWidth="1"/>
    <col min="10752" max="10752" width="12.44140625" style="37" bestFit="1" customWidth="1"/>
    <col min="10753" max="11003" width="9.109375" style="37"/>
    <col min="11004" max="11004" width="35.5546875" style="37" bestFit="1" customWidth="1"/>
    <col min="11005" max="11005" width="11.6640625" style="37" bestFit="1" customWidth="1"/>
    <col min="11006" max="11006" width="9.6640625" style="37" bestFit="1" customWidth="1"/>
    <col min="11007" max="11007" width="24.109375" style="37" bestFit="1" customWidth="1"/>
    <col min="11008" max="11008" width="12.44140625" style="37" bestFit="1" customWidth="1"/>
    <col min="11009" max="11259" width="9.109375" style="37"/>
    <col min="11260" max="11260" width="35.5546875" style="37" bestFit="1" customWidth="1"/>
    <col min="11261" max="11261" width="11.6640625" style="37" bestFit="1" customWidth="1"/>
    <col min="11262" max="11262" width="9.6640625" style="37" bestFit="1" customWidth="1"/>
    <col min="11263" max="11263" width="24.109375" style="37" bestFit="1" customWidth="1"/>
    <col min="11264" max="11264" width="12.44140625" style="37" bestFit="1" customWidth="1"/>
    <col min="11265" max="11515" width="9.109375" style="37"/>
    <col min="11516" max="11516" width="35.5546875" style="37" bestFit="1" customWidth="1"/>
    <col min="11517" max="11517" width="11.6640625" style="37" bestFit="1" customWidth="1"/>
    <col min="11518" max="11518" width="9.6640625" style="37" bestFit="1" customWidth="1"/>
    <col min="11519" max="11519" width="24.109375" style="37" bestFit="1" customWidth="1"/>
    <col min="11520" max="11520" width="12.44140625" style="37" bestFit="1" customWidth="1"/>
    <col min="11521" max="11771" width="9.109375" style="37"/>
    <col min="11772" max="11772" width="35.5546875" style="37" bestFit="1" customWidth="1"/>
    <col min="11773" max="11773" width="11.6640625" style="37" bestFit="1" customWidth="1"/>
    <col min="11774" max="11774" width="9.6640625" style="37" bestFit="1" customWidth="1"/>
    <col min="11775" max="11775" width="24.109375" style="37" bestFit="1" customWidth="1"/>
    <col min="11776" max="11776" width="12.44140625" style="37" bestFit="1" customWidth="1"/>
    <col min="11777" max="12027" width="9.109375" style="37"/>
    <col min="12028" max="12028" width="35.5546875" style="37" bestFit="1" customWidth="1"/>
    <col min="12029" max="12029" width="11.6640625" style="37" bestFit="1" customWidth="1"/>
    <col min="12030" max="12030" width="9.6640625" style="37" bestFit="1" customWidth="1"/>
    <col min="12031" max="12031" width="24.109375" style="37" bestFit="1" customWidth="1"/>
    <col min="12032" max="12032" width="12.44140625" style="37" bestFit="1" customWidth="1"/>
    <col min="12033" max="12283" width="9.109375" style="37"/>
    <col min="12284" max="12284" width="35.5546875" style="37" bestFit="1" customWidth="1"/>
    <col min="12285" max="12285" width="11.6640625" style="37" bestFit="1" customWidth="1"/>
    <col min="12286" max="12286" width="9.6640625" style="37" bestFit="1" customWidth="1"/>
    <col min="12287" max="12287" width="24.109375" style="37" bestFit="1" customWidth="1"/>
    <col min="12288" max="12288" width="12.44140625" style="37" bestFit="1" customWidth="1"/>
    <col min="12289" max="12539" width="9.109375" style="37"/>
    <col min="12540" max="12540" width="35.5546875" style="37" bestFit="1" customWidth="1"/>
    <col min="12541" max="12541" width="11.6640625" style="37" bestFit="1" customWidth="1"/>
    <col min="12542" max="12542" width="9.6640625" style="37" bestFit="1" customWidth="1"/>
    <col min="12543" max="12543" width="24.109375" style="37" bestFit="1" customWidth="1"/>
    <col min="12544" max="12544" width="12.44140625" style="37" bestFit="1" customWidth="1"/>
    <col min="12545" max="12795" width="9.109375" style="37"/>
    <col min="12796" max="12796" width="35.5546875" style="37" bestFit="1" customWidth="1"/>
    <col min="12797" max="12797" width="11.6640625" style="37" bestFit="1" customWidth="1"/>
    <col min="12798" max="12798" width="9.6640625" style="37" bestFit="1" customWidth="1"/>
    <col min="12799" max="12799" width="24.109375" style="37" bestFit="1" customWidth="1"/>
    <col min="12800" max="12800" width="12.44140625" style="37" bestFit="1" customWidth="1"/>
    <col min="12801" max="13051" width="9.109375" style="37"/>
    <col min="13052" max="13052" width="35.5546875" style="37" bestFit="1" customWidth="1"/>
    <col min="13053" max="13053" width="11.6640625" style="37" bestFit="1" customWidth="1"/>
    <col min="13054" max="13054" width="9.6640625" style="37" bestFit="1" customWidth="1"/>
    <col min="13055" max="13055" width="24.109375" style="37" bestFit="1" customWidth="1"/>
    <col min="13056" max="13056" width="12.44140625" style="37" bestFit="1" customWidth="1"/>
    <col min="13057" max="13307" width="9.109375" style="37"/>
    <col min="13308" max="13308" width="35.5546875" style="37" bestFit="1" customWidth="1"/>
    <col min="13309" max="13309" width="11.6640625" style="37" bestFit="1" customWidth="1"/>
    <col min="13310" max="13310" width="9.6640625" style="37" bestFit="1" customWidth="1"/>
    <col min="13311" max="13311" width="24.109375" style="37" bestFit="1" customWidth="1"/>
    <col min="13312" max="13312" width="12.44140625" style="37" bestFit="1" customWidth="1"/>
    <col min="13313" max="13563" width="9.109375" style="37"/>
    <col min="13564" max="13564" width="35.5546875" style="37" bestFit="1" customWidth="1"/>
    <col min="13565" max="13565" width="11.6640625" style="37" bestFit="1" customWidth="1"/>
    <col min="13566" max="13566" width="9.6640625" style="37" bestFit="1" customWidth="1"/>
    <col min="13567" max="13567" width="24.109375" style="37" bestFit="1" customWidth="1"/>
    <col min="13568" max="13568" width="12.44140625" style="37" bestFit="1" customWidth="1"/>
    <col min="13569" max="13819" width="9.109375" style="37"/>
    <col min="13820" max="13820" width="35.5546875" style="37" bestFit="1" customWidth="1"/>
    <col min="13821" max="13821" width="11.6640625" style="37" bestFit="1" customWidth="1"/>
    <col min="13822" max="13822" width="9.6640625" style="37" bestFit="1" customWidth="1"/>
    <col min="13823" max="13823" width="24.109375" style="37" bestFit="1" customWidth="1"/>
    <col min="13824" max="13824" width="12.44140625" style="37" bestFit="1" customWidth="1"/>
    <col min="13825" max="14075" width="9.109375" style="37"/>
    <col min="14076" max="14076" width="35.5546875" style="37" bestFit="1" customWidth="1"/>
    <col min="14077" max="14077" width="11.6640625" style="37" bestFit="1" customWidth="1"/>
    <col min="14078" max="14078" width="9.6640625" style="37" bestFit="1" customWidth="1"/>
    <col min="14079" max="14079" width="24.109375" style="37" bestFit="1" customWidth="1"/>
    <col min="14080" max="14080" width="12.44140625" style="37" bestFit="1" customWidth="1"/>
    <col min="14081" max="14331" width="9.109375" style="37"/>
    <col min="14332" max="14332" width="35.5546875" style="37" bestFit="1" customWidth="1"/>
    <col min="14333" max="14333" width="11.6640625" style="37" bestFit="1" customWidth="1"/>
    <col min="14334" max="14334" width="9.6640625" style="37" bestFit="1" customWidth="1"/>
    <col min="14335" max="14335" width="24.109375" style="37" bestFit="1" customWidth="1"/>
    <col min="14336" max="14336" width="12.44140625" style="37" bestFit="1" customWidth="1"/>
    <col min="14337" max="14587" width="9.109375" style="37"/>
    <col min="14588" max="14588" width="35.5546875" style="37" bestFit="1" customWidth="1"/>
    <col min="14589" max="14589" width="11.6640625" style="37" bestFit="1" customWidth="1"/>
    <col min="14590" max="14590" width="9.6640625" style="37" bestFit="1" customWidth="1"/>
    <col min="14591" max="14591" width="24.109375" style="37" bestFit="1" customWidth="1"/>
    <col min="14592" max="14592" width="12.44140625" style="37" bestFit="1" customWidth="1"/>
    <col min="14593" max="14843" width="9.109375" style="37"/>
    <col min="14844" max="14844" width="35.5546875" style="37" bestFit="1" customWidth="1"/>
    <col min="14845" max="14845" width="11.6640625" style="37" bestFit="1" customWidth="1"/>
    <col min="14846" max="14846" width="9.6640625" style="37" bestFit="1" customWidth="1"/>
    <col min="14847" max="14847" width="24.109375" style="37" bestFit="1" customWidth="1"/>
    <col min="14848" max="14848" width="12.44140625" style="37" bestFit="1" customWidth="1"/>
    <col min="14849" max="15099" width="9.109375" style="37"/>
    <col min="15100" max="15100" width="35.5546875" style="37" bestFit="1" customWidth="1"/>
    <col min="15101" max="15101" width="11.6640625" style="37" bestFit="1" customWidth="1"/>
    <col min="15102" max="15102" width="9.6640625" style="37" bestFit="1" customWidth="1"/>
    <col min="15103" max="15103" width="24.109375" style="37" bestFit="1" customWidth="1"/>
    <col min="15104" max="15104" width="12.44140625" style="37" bestFit="1" customWidth="1"/>
    <col min="15105" max="15355" width="9.109375" style="37"/>
    <col min="15356" max="15356" width="35.5546875" style="37" bestFit="1" customWidth="1"/>
    <col min="15357" max="15357" width="11.6640625" style="37" bestFit="1" customWidth="1"/>
    <col min="15358" max="15358" width="9.6640625" style="37" bestFit="1" customWidth="1"/>
    <col min="15359" max="15359" width="24.109375" style="37" bestFit="1" customWidth="1"/>
    <col min="15360" max="15360" width="12.44140625" style="37" bestFit="1" customWidth="1"/>
    <col min="15361" max="15611" width="9.109375" style="37"/>
    <col min="15612" max="15612" width="35.5546875" style="37" bestFit="1" customWidth="1"/>
    <col min="15613" max="15613" width="11.6640625" style="37" bestFit="1" customWidth="1"/>
    <col min="15614" max="15614" width="9.6640625" style="37" bestFit="1" customWidth="1"/>
    <col min="15615" max="15615" width="24.109375" style="37" bestFit="1" customWidth="1"/>
    <col min="15616" max="15616" width="12.44140625" style="37" bestFit="1" customWidth="1"/>
    <col min="15617" max="15867" width="9.109375" style="37"/>
    <col min="15868" max="15868" width="35.5546875" style="37" bestFit="1" customWidth="1"/>
    <col min="15869" max="15869" width="11.6640625" style="37" bestFit="1" customWidth="1"/>
    <col min="15870" max="15870" width="9.6640625" style="37" bestFit="1" customWidth="1"/>
    <col min="15871" max="15871" width="24.109375" style="37" bestFit="1" customWidth="1"/>
    <col min="15872" max="15872" width="12.44140625" style="37" bestFit="1" customWidth="1"/>
    <col min="15873" max="16123" width="9.109375" style="37"/>
    <col min="16124" max="16124" width="35.5546875" style="37" bestFit="1" customWidth="1"/>
    <col min="16125" max="16125" width="11.6640625" style="37" bestFit="1" customWidth="1"/>
    <col min="16126" max="16126" width="9.6640625" style="37" bestFit="1" customWidth="1"/>
    <col min="16127" max="16127" width="24.109375" style="37" bestFit="1" customWidth="1"/>
    <col min="16128" max="16128" width="12.44140625" style="37" bestFit="1" customWidth="1"/>
    <col min="16129" max="16384" width="9.109375" style="37"/>
  </cols>
  <sheetData>
    <row r="1" spans="1:3" x14ac:dyDescent="0.25">
      <c r="A1" s="37" t="s">
        <v>66</v>
      </c>
      <c r="B1" s="38">
        <v>15000</v>
      </c>
    </row>
    <row r="2" spans="1:3" x14ac:dyDescent="0.25">
      <c r="A2" s="39" t="s">
        <v>67</v>
      </c>
      <c r="B2" s="37">
        <v>3</v>
      </c>
    </row>
    <row r="3" spans="1:3" x14ac:dyDescent="0.25">
      <c r="A3" s="37" t="s">
        <v>68</v>
      </c>
      <c r="B3" s="38">
        <v>50000</v>
      </c>
    </row>
    <row r="4" spans="1:3" x14ac:dyDescent="0.25">
      <c r="A4" s="37" t="s">
        <v>69</v>
      </c>
      <c r="B4" s="40">
        <f>B3/12</f>
        <v>4166.666666666667</v>
      </c>
    </row>
    <row r="5" spans="1:3" x14ac:dyDescent="0.25">
      <c r="A5" s="37" t="s">
        <v>70</v>
      </c>
      <c r="B5" s="40">
        <f>0.28*B4</f>
        <v>1166.666666666667</v>
      </c>
    </row>
    <row r="6" spans="1:3" x14ac:dyDescent="0.25">
      <c r="A6" s="39" t="s">
        <v>71</v>
      </c>
      <c r="B6" s="37">
        <v>15</v>
      </c>
    </row>
    <row r="7" spans="1:3" x14ac:dyDescent="0.25">
      <c r="A7" s="37" t="s">
        <v>72</v>
      </c>
      <c r="B7" s="44">
        <v>6.5000000000000002E-2</v>
      </c>
    </row>
    <row r="8" spans="1:3" x14ac:dyDescent="0.25">
      <c r="A8" s="39" t="s">
        <v>62</v>
      </c>
      <c r="B8" s="41">
        <v>0.03</v>
      </c>
    </row>
    <row r="9" spans="1:3" x14ac:dyDescent="0.25">
      <c r="A9" s="39" t="s">
        <v>73</v>
      </c>
      <c r="B9" s="41">
        <v>0.05</v>
      </c>
    </row>
    <row r="10" spans="1:3" x14ac:dyDescent="0.25">
      <c r="A10" s="39" t="s">
        <v>74</v>
      </c>
      <c r="B10" s="41">
        <v>0.08</v>
      </c>
    </row>
    <row r="11" spans="1:3" x14ac:dyDescent="0.25">
      <c r="A11" s="39" t="s">
        <v>75</v>
      </c>
      <c r="B11" s="42">
        <f>PV(B7/12,B6*12,-B5,0,0)</f>
        <v>133929.14732943458</v>
      </c>
    </row>
    <row r="12" spans="1:3" x14ac:dyDescent="0.25">
      <c r="A12" s="39" t="s">
        <v>63</v>
      </c>
      <c r="B12" s="42">
        <f>B11*B8</f>
        <v>4017.8744198830373</v>
      </c>
    </row>
    <row r="13" spans="1:3" x14ac:dyDescent="0.25">
      <c r="A13" s="37" t="s">
        <v>4</v>
      </c>
      <c r="B13" s="41">
        <v>0.03</v>
      </c>
    </row>
    <row r="15" spans="1:3" x14ac:dyDescent="0.25">
      <c r="A15" s="75" t="s">
        <v>86</v>
      </c>
      <c r="B15" s="75"/>
      <c r="C15" s="45"/>
    </row>
    <row r="16" spans="1:3" x14ac:dyDescent="0.25">
      <c r="A16" s="39" t="s">
        <v>76</v>
      </c>
      <c r="B16" s="40">
        <f>PMT(B10/12,B2*12,-B1,0)</f>
        <v>470.04548192146274</v>
      </c>
    </row>
    <row r="17" spans="1:2" x14ac:dyDescent="0.25">
      <c r="A17" s="37" t="s">
        <v>77</v>
      </c>
      <c r="B17" s="40">
        <f>B5-B16</f>
        <v>696.62118474520423</v>
      </c>
    </row>
    <row r="18" spans="1:2" x14ac:dyDescent="0.25">
      <c r="A18" s="37" t="s">
        <v>78</v>
      </c>
      <c r="B18" s="40">
        <f>FV(B9/12,B2*12,-B17,0,0)</f>
        <v>26996.394502793471</v>
      </c>
    </row>
    <row r="19" spans="1:2" x14ac:dyDescent="0.25">
      <c r="A19" s="39" t="s">
        <v>43</v>
      </c>
      <c r="B19" s="40">
        <f>B18-B12</f>
        <v>22978.520082910436</v>
      </c>
    </row>
    <row r="20" spans="1:2" x14ac:dyDescent="0.25">
      <c r="A20" s="39" t="s">
        <v>79</v>
      </c>
      <c r="B20" s="42">
        <f>B11+B19</f>
        <v>156907.66741234501</v>
      </c>
    </row>
    <row r="22" spans="1:2" x14ac:dyDescent="0.25">
      <c r="A22" s="76" t="s">
        <v>80</v>
      </c>
      <c r="B22" s="76"/>
    </row>
    <row r="23" spans="1:2" x14ac:dyDescent="0.25">
      <c r="A23" s="39" t="s">
        <v>76</v>
      </c>
      <c r="B23" s="40">
        <f>B5</f>
        <v>1166.666666666667</v>
      </c>
    </row>
    <row r="24" spans="1:2" x14ac:dyDescent="0.25">
      <c r="A24" s="37" t="s">
        <v>81</v>
      </c>
      <c r="B24" s="43">
        <f>NPER(B10/12,-B23,B1,0,0)</f>
        <v>13.486580263516521</v>
      </c>
    </row>
    <row r="25" spans="1:2" x14ac:dyDescent="0.25">
      <c r="A25" s="37" t="s">
        <v>82</v>
      </c>
      <c r="B25" s="43">
        <f>B2*12-B24</f>
        <v>22.513419736483478</v>
      </c>
    </row>
    <row r="26" spans="1:2" x14ac:dyDescent="0.25">
      <c r="A26" s="37" t="s">
        <v>78</v>
      </c>
      <c r="B26" s="40">
        <f>FV(B9/12,B25,-B23,0,0)</f>
        <v>27477.105530270594</v>
      </c>
    </row>
    <row r="27" spans="1:2" x14ac:dyDescent="0.25">
      <c r="A27" s="39" t="s">
        <v>43</v>
      </c>
      <c r="B27" s="40">
        <f>B26-B12</f>
        <v>23459.231110387555</v>
      </c>
    </row>
    <row r="28" spans="1:2" x14ac:dyDescent="0.25">
      <c r="A28" s="39" t="s">
        <v>79</v>
      </c>
      <c r="B28" s="42">
        <f>B27+B11</f>
        <v>157388.37843982212</v>
      </c>
    </row>
    <row r="30" spans="1:2" x14ac:dyDescent="0.25">
      <c r="A30" s="75" t="s">
        <v>83</v>
      </c>
      <c r="B30" s="75"/>
    </row>
    <row r="31" spans="1:2" x14ac:dyDescent="0.25">
      <c r="A31" s="39" t="s">
        <v>76</v>
      </c>
      <c r="B31" s="40">
        <f>PMT(B10/12,B2*12,-B1,0)</f>
        <v>470.04548192146274</v>
      </c>
    </row>
    <row r="32" spans="1:2" x14ac:dyDescent="0.25">
      <c r="A32" s="37" t="s">
        <v>77</v>
      </c>
      <c r="B32" s="40">
        <f>B5-B31</f>
        <v>696.62118474520423</v>
      </c>
    </row>
    <row r="33" spans="1:2" x14ac:dyDescent="0.25">
      <c r="A33" s="37" t="s">
        <v>78</v>
      </c>
      <c r="B33" s="40">
        <f>FV(B9/12,B2*12,-B32,0,0)</f>
        <v>26996.394502793471</v>
      </c>
    </row>
    <row r="34" spans="1:2" ht="15.6" x14ac:dyDescent="0.3">
      <c r="A34" s="37" t="s">
        <v>84</v>
      </c>
      <c r="B34" s="9">
        <f>FV(B13,B2,0,-B3,0)</f>
        <v>54636.35</v>
      </c>
    </row>
    <row r="35" spans="1:2" x14ac:dyDescent="0.25">
      <c r="A35" s="37" t="s">
        <v>69</v>
      </c>
      <c r="B35" s="40">
        <f>B34/12</f>
        <v>4553.0291666666662</v>
      </c>
    </row>
    <row r="36" spans="1:2" x14ac:dyDescent="0.25">
      <c r="A36" s="37" t="s">
        <v>70</v>
      </c>
      <c r="B36" s="40">
        <f>0.28*B35</f>
        <v>1274.8481666666667</v>
      </c>
    </row>
    <row r="37" spans="1:2" x14ac:dyDescent="0.25">
      <c r="A37" s="39" t="s">
        <v>75</v>
      </c>
      <c r="B37" s="42">
        <f>PV(B7/12,B6*12,-B36,0,0)</f>
        <v>146347.99537385101</v>
      </c>
    </row>
    <row r="38" spans="1:2" x14ac:dyDescent="0.25">
      <c r="A38" s="39" t="s">
        <v>63</v>
      </c>
      <c r="B38" s="42">
        <f>B37*B8</f>
        <v>4390.4398612155301</v>
      </c>
    </row>
    <row r="39" spans="1:2" x14ac:dyDescent="0.25">
      <c r="A39" s="39" t="s">
        <v>43</v>
      </c>
      <c r="B39" s="40">
        <f>B33-B38</f>
        <v>22605.95464157794</v>
      </c>
    </row>
    <row r="40" spans="1:2" x14ac:dyDescent="0.25">
      <c r="A40" s="39" t="s">
        <v>79</v>
      </c>
      <c r="B40" s="42">
        <f>B37+B39</f>
        <v>168953.95001542894</v>
      </c>
    </row>
    <row r="42" spans="1:2" x14ac:dyDescent="0.25">
      <c r="A42" s="76" t="s">
        <v>85</v>
      </c>
      <c r="B42" s="76"/>
    </row>
    <row r="43" spans="1:2" x14ac:dyDescent="0.25">
      <c r="A43" s="39" t="s">
        <v>76</v>
      </c>
      <c r="B43" s="40">
        <f>B5</f>
        <v>1166.666666666667</v>
      </c>
    </row>
    <row r="44" spans="1:2" x14ac:dyDescent="0.25">
      <c r="A44" s="37" t="s">
        <v>81</v>
      </c>
      <c r="B44" s="43">
        <f>NPER(B10/12,-B43,B1,0,0)</f>
        <v>13.486580263516521</v>
      </c>
    </row>
    <row r="45" spans="1:2" x14ac:dyDescent="0.25">
      <c r="A45" s="37" t="s">
        <v>82</v>
      </c>
      <c r="B45" s="43">
        <f>B2*12-B44</f>
        <v>22.513419736483478</v>
      </c>
    </row>
    <row r="46" spans="1:2" x14ac:dyDescent="0.25">
      <c r="A46" s="37" t="s">
        <v>78</v>
      </c>
      <c r="B46" s="40">
        <f>FV(B9/12,B45,-B43,0,0)</f>
        <v>27477.105530270594</v>
      </c>
    </row>
    <row r="47" spans="1:2" x14ac:dyDescent="0.25">
      <c r="A47" s="39" t="s">
        <v>43</v>
      </c>
      <c r="B47" s="40">
        <f>B46-B38</f>
        <v>23086.665669055063</v>
      </c>
    </row>
    <row r="48" spans="1:2" x14ac:dyDescent="0.25">
      <c r="A48" s="39" t="s">
        <v>79</v>
      </c>
      <c r="B48" s="42">
        <f>B37+B47</f>
        <v>169434.66104290608</v>
      </c>
    </row>
  </sheetData>
  <mergeCells count="4">
    <mergeCell ref="A15:B15"/>
    <mergeCell ref="A22:B22"/>
    <mergeCell ref="A30:B30"/>
    <mergeCell ref="A42:B42"/>
  </mergeCells>
  <pageMargins left="0.75" right="0.75" top="1" bottom="1" header="0.5" footer="0.5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H18" sqref="H18"/>
    </sheetView>
  </sheetViews>
  <sheetFormatPr defaultColWidth="9.109375" defaultRowHeight="15.6" x14ac:dyDescent="0.3"/>
  <cols>
    <col min="1" max="1" width="5.5546875" style="1" bestFit="1" customWidth="1"/>
    <col min="2" max="3" width="13.33203125" style="1" bestFit="1" customWidth="1"/>
    <col min="4" max="16384" width="9.109375" style="1"/>
  </cols>
  <sheetData>
    <row r="1" spans="1:3" x14ac:dyDescent="0.3">
      <c r="A1" s="46" t="s">
        <v>87</v>
      </c>
      <c r="B1" s="49" t="s">
        <v>93</v>
      </c>
      <c r="C1" s="49" t="s">
        <v>90</v>
      </c>
    </row>
    <row r="2" spans="1:3" x14ac:dyDescent="0.3">
      <c r="A2" s="1" t="s">
        <v>91</v>
      </c>
      <c r="B2" s="50">
        <f>-120000</f>
        <v>-120000</v>
      </c>
    </row>
    <row r="3" spans="1:3" x14ac:dyDescent="0.3">
      <c r="A3" s="1">
        <v>1</v>
      </c>
      <c r="B3" s="6">
        <v>50000</v>
      </c>
      <c r="C3" s="48">
        <f>PV($B$9,A3,0,-B3)</f>
        <v>44642.857142857138</v>
      </c>
    </row>
    <row r="4" spans="1:3" x14ac:dyDescent="0.3">
      <c r="A4" s="1">
        <v>2</v>
      </c>
      <c r="B4" s="6">
        <v>40000</v>
      </c>
      <c r="C4" s="48">
        <f>PV($B$9,A4,0,-B4)</f>
        <v>31887.75510204081</v>
      </c>
    </row>
    <row r="5" spans="1:3" x14ac:dyDescent="0.3">
      <c r="A5" s="1">
        <v>3</v>
      </c>
      <c r="B5" s="6">
        <v>30000</v>
      </c>
      <c r="C5" s="48">
        <f>PV($B$9,A5,0,-B5)</f>
        <v>21353.407434402325</v>
      </c>
    </row>
    <row r="6" spans="1:3" x14ac:dyDescent="0.3">
      <c r="A6" s="1">
        <v>4</v>
      </c>
      <c r="B6" s="6">
        <v>20000</v>
      </c>
      <c r="C6" s="48">
        <f>PV($B$9,A6,0,-B6)</f>
        <v>12710.361568096623</v>
      </c>
    </row>
    <row r="7" spans="1:3" x14ac:dyDescent="0.3">
      <c r="A7" s="1">
        <v>5</v>
      </c>
      <c r="B7" s="6">
        <v>10000</v>
      </c>
      <c r="C7" s="48">
        <f>PV($B$9,A7,0,-B7)</f>
        <v>5674.268557185992</v>
      </c>
    </row>
    <row r="8" spans="1:3" x14ac:dyDescent="0.3">
      <c r="A8" s="1" t="s">
        <v>88</v>
      </c>
      <c r="B8" s="48">
        <f>NPV(B9,B3:B7)</f>
        <v>116268.64980458288</v>
      </c>
      <c r="C8" s="48">
        <f>SUM(C3:C7)</f>
        <v>116268.64980458288</v>
      </c>
    </row>
    <row r="9" spans="1:3" x14ac:dyDescent="0.3">
      <c r="A9" s="1" t="s">
        <v>89</v>
      </c>
      <c r="B9" s="47">
        <v>0.12</v>
      </c>
    </row>
    <row r="10" spans="1:3" x14ac:dyDescent="0.3">
      <c r="A10" s="1" t="s">
        <v>92</v>
      </c>
      <c r="B10" s="3">
        <f>IRR(B2:B7)</f>
        <v>0.10385194713415347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A63" sqref="A63"/>
    </sheetView>
  </sheetViews>
  <sheetFormatPr defaultColWidth="9.109375" defaultRowHeight="15.6" x14ac:dyDescent="0.3"/>
  <cols>
    <col min="1" max="1" width="23.33203125" style="1" bestFit="1" customWidth="1"/>
    <col min="2" max="2" width="19.109375" style="1" bestFit="1" customWidth="1"/>
    <col min="3" max="3" width="9.33203125" style="1" bestFit="1" customWidth="1"/>
    <col min="4" max="4" width="10.88671875" style="1" bestFit="1" customWidth="1"/>
    <col min="5" max="5" width="12" style="1" bestFit="1" customWidth="1"/>
    <col min="6" max="6" width="16" style="1" bestFit="1" customWidth="1"/>
    <col min="7" max="7" width="9.109375" style="1"/>
    <col min="8" max="8" width="24.44140625" style="1" bestFit="1" customWidth="1"/>
    <col min="9" max="9" width="12" style="1" bestFit="1" customWidth="1"/>
    <col min="10" max="10" width="9.109375" style="1"/>
    <col min="11" max="11" width="24.109375" style="1" bestFit="1" customWidth="1"/>
    <col min="12" max="12" width="12" style="1" bestFit="1" customWidth="1"/>
    <col min="13" max="16384" width="9.109375" style="1"/>
  </cols>
  <sheetData>
    <row r="1" spans="1:7" x14ac:dyDescent="0.3">
      <c r="A1" s="51" t="s">
        <v>94</v>
      </c>
      <c r="B1" s="50">
        <v>15000</v>
      </c>
    </row>
    <row r="2" spans="1:7" x14ac:dyDescent="0.3">
      <c r="A2" s="51" t="s">
        <v>95</v>
      </c>
      <c r="B2" s="3">
        <v>7.0000000000000007E-2</v>
      </c>
    </row>
    <row r="3" spans="1:7" ht="16.2" thickBot="1" x14ac:dyDescent="0.35">
      <c r="A3" s="52" t="s">
        <v>96</v>
      </c>
      <c r="B3" s="4">
        <v>3</v>
      </c>
      <c r="C3" s="4"/>
      <c r="D3" s="4"/>
      <c r="E3" s="4"/>
      <c r="F3" s="4"/>
    </row>
    <row r="4" spans="1:7" ht="16.2" thickBot="1" x14ac:dyDescent="0.35">
      <c r="A4" s="53" t="s">
        <v>97</v>
      </c>
      <c r="B4" s="54" t="s">
        <v>98</v>
      </c>
      <c r="C4" s="54" t="s">
        <v>99</v>
      </c>
      <c r="D4" s="54" t="s">
        <v>100</v>
      </c>
      <c r="E4" s="54" t="s">
        <v>101</v>
      </c>
      <c r="F4" s="54" t="s">
        <v>102</v>
      </c>
      <c r="G4" s="55"/>
    </row>
    <row r="5" spans="1:7" s="58" customFormat="1" x14ac:dyDescent="0.3">
      <c r="A5" s="56">
        <v>1</v>
      </c>
      <c r="B5" s="57">
        <f>B1</f>
        <v>15000</v>
      </c>
      <c r="C5" s="57">
        <f>PMT($B$2/12,12*$B$3,-$B$1,)</f>
        <v>463.15645298057916</v>
      </c>
      <c r="D5" s="57">
        <f>$B$2/12*B5</f>
        <v>87.5</v>
      </c>
      <c r="E5" s="57">
        <f>C5-D5</f>
        <v>375.65645298057916</v>
      </c>
      <c r="F5" s="57">
        <f>B5-E5</f>
        <v>14624.34354701942</v>
      </c>
    </row>
    <row r="6" spans="1:7" x14ac:dyDescent="0.3">
      <c r="A6" s="56">
        <v>2</v>
      </c>
      <c r="B6" s="57">
        <f>F5</f>
        <v>14624.34354701942</v>
      </c>
      <c r="C6" s="57">
        <f t="shared" ref="C6:C40" si="0">PMT($B$2/12,12*$B$3,-$B$1,)</f>
        <v>463.15645298057916</v>
      </c>
      <c r="D6" s="57">
        <f t="shared" ref="D6:D28" si="1">$B$2/12*B6</f>
        <v>85.308670690946627</v>
      </c>
      <c r="E6" s="57">
        <f>C6-D6</f>
        <v>377.84778228963251</v>
      </c>
      <c r="F6" s="57">
        <f>B6-E6</f>
        <v>14246.495764729787</v>
      </c>
    </row>
    <row r="7" spans="1:7" x14ac:dyDescent="0.3">
      <c r="A7" s="56">
        <v>3</v>
      </c>
      <c r="B7" s="57">
        <f t="shared" ref="B7:B28" si="2">F6</f>
        <v>14246.495764729787</v>
      </c>
      <c r="C7" s="57">
        <f t="shared" si="0"/>
        <v>463.15645298057916</v>
      </c>
      <c r="D7" s="57">
        <f t="shared" si="1"/>
        <v>83.104558627590421</v>
      </c>
      <c r="E7" s="57">
        <f t="shared" ref="E7:E28" si="3">C7-D7</f>
        <v>380.05189435298871</v>
      </c>
      <c r="F7" s="57">
        <f t="shared" ref="F7:F27" si="4">B7-E7</f>
        <v>13866.443870376799</v>
      </c>
    </row>
    <row r="8" spans="1:7" x14ac:dyDescent="0.3">
      <c r="A8" s="56">
        <v>4</v>
      </c>
      <c r="B8" s="57">
        <f t="shared" si="2"/>
        <v>13866.443870376799</v>
      </c>
      <c r="C8" s="57">
        <f t="shared" si="0"/>
        <v>463.15645298057916</v>
      </c>
      <c r="D8" s="57">
        <f t="shared" si="1"/>
        <v>80.887589243864667</v>
      </c>
      <c r="E8" s="57">
        <f t="shared" si="3"/>
        <v>382.26886373671448</v>
      </c>
      <c r="F8" s="57">
        <f t="shared" si="4"/>
        <v>13484.175006640085</v>
      </c>
    </row>
    <row r="9" spans="1:7" x14ac:dyDescent="0.3">
      <c r="A9" s="56">
        <v>5</v>
      </c>
      <c r="B9" s="57">
        <f t="shared" si="2"/>
        <v>13484.175006640085</v>
      </c>
      <c r="C9" s="57">
        <f t="shared" si="0"/>
        <v>463.15645298057916</v>
      </c>
      <c r="D9" s="57">
        <f t="shared" si="1"/>
        <v>78.657687538733839</v>
      </c>
      <c r="E9" s="57">
        <f t="shared" si="3"/>
        <v>384.49876544184531</v>
      </c>
      <c r="F9" s="57">
        <f t="shared" si="4"/>
        <v>13099.67624119824</v>
      </c>
    </row>
    <row r="10" spans="1:7" x14ac:dyDescent="0.3">
      <c r="A10" s="56">
        <v>6</v>
      </c>
      <c r="B10" s="57">
        <f t="shared" si="2"/>
        <v>13099.67624119824</v>
      </c>
      <c r="C10" s="57">
        <f t="shared" si="0"/>
        <v>463.15645298057916</v>
      </c>
      <c r="D10" s="57">
        <f t="shared" si="1"/>
        <v>76.414778073656407</v>
      </c>
      <c r="E10" s="57">
        <f t="shared" si="3"/>
        <v>386.74167490692275</v>
      </c>
      <c r="F10" s="57">
        <f t="shared" si="4"/>
        <v>12712.934566291317</v>
      </c>
    </row>
    <row r="11" spans="1:7" x14ac:dyDescent="0.3">
      <c r="A11" s="56">
        <v>7</v>
      </c>
      <c r="B11" s="57">
        <f t="shared" si="2"/>
        <v>12712.934566291317</v>
      </c>
      <c r="C11" s="57">
        <f t="shared" si="0"/>
        <v>463.15645298057916</v>
      </c>
      <c r="D11" s="57">
        <f t="shared" si="1"/>
        <v>74.158784970032684</v>
      </c>
      <c r="E11" s="57">
        <f t="shared" si="3"/>
        <v>388.99766801054648</v>
      </c>
      <c r="F11" s="57">
        <f t="shared" si="4"/>
        <v>12323.93689828077</v>
      </c>
    </row>
    <row r="12" spans="1:7" x14ac:dyDescent="0.3">
      <c r="A12" s="56">
        <v>8</v>
      </c>
      <c r="B12" s="57">
        <f t="shared" si="2"/>
        <v>12323.93689828077</v>
      </c>
      <c r="C12" s="57">
        <f t="shared" si="0"/>
        <v>463.15645298057916</v>
      </c>
      <c r="D12" s="57">
        <f t="shared" si="1"/>
        <v>71.889631906637831</v>
      </c>
      <c r="E12" s="57">
        <f t="shared" si="3"/>
        <v>391.26682107394134</v>
      </c>
      <c r="F12" s="57">
        <f t="shared" si="4"/>
        <v>11932.670077206829</v>
      </c>
    </row>
    <row r="13" spans="1:7" x14ac:dyDescent="0.3">
      <c r="A13" s="56">
        <v>9</v>
      </c>
      <c r="B13" s="57">
        <f t="shared" si="2"/>
        <v>11932.670077206829</v>
      </c>
      <c r="C13" s="57">
        <f t="shared" si="0"/>
        <v>463.15645298057916</v>
      </c>
      <c r="D13" s="57">
        <f t="shared" si="1"/>
        <v>69.607242117039831</v>
      </c>
      <c r="E13" s="57">
        <f t="shared" si="3"/>
        <v>393.54921086353932</v>
      </c>
      <c r="F13" s="57">
        <f t="shared" si="4"/>
        <v>11539.12086634329</v>
      </c>
    </row>
    <row r="14" spans="1:7" x14ac:dyDescent="0.3">
      <c r="A14" s="56">
        <v>10</v>
      </c>
      <c r="B14" s="57">
        <f t="shared" si="2"/>
        <v>11539.12086634329</v>
      </c>
      <c r="C14" s="57">
        <f t="shared" si="0"/>
        <v>463.15645298057916</v>
      </c>
      <c r="D14" s="57">
        <f t="shared" si="1"/>
        <v>67.311538387002528</v>
      </c>
      <c r="E14" s="57">
        <f t="shared" si="3"/>
        <v>395.84491459357662</v>
      </c>
      <c r="F14" s="57">
        <f t="shared" si="4"/>
        <v>11143.275951749712</v>
      </c>
    </row>
    <row r="15" spans="1:7" x14ac:dyDescent="0.3">
      <c r="A15" s="56">
        <v>11</v>
      </c>
      <c r="B15" s="57">
        <f t="shared" si="2"/>
        <v>11143.275951749712</v>
      </c>
      <c r="C15" s="57">
        <f t="shared" si="0"/>
        <v>463.15645298057916</v>
      </c>
      <c r="D15" s="57">
        <f t="shared" si="1"/>
        <v>65.002443051873328</v>
      </c>
      <c r="E15" s="57">
        <f t="shared" si="3"/>
        <v>398.15400992870582</v>
      </c>
      <c r="F15" s="57">
        <f t="shared" si="4"/>
        <v>10745.121941821006</v>
      </c>
    </row>
    <row r="16" spans="1:7" x14ac:dyDescent="0.3">
      <c r="A16" s="56">
        <v>12</v>
      </c>
      <c r="B16" s="57">
        <f t="shared" si="2"/>
        <v>10745.121941821006</v>
      </c>
      <c r="C16" s="57">
        <f t="shared" si="0"/>
        <v>463.15645298057916</v>
      </c>
      <c r="D16" s="57">
        <f t="shared" si="1"/>
        <v>62.67987799395587</v>
      </c>
      <c r="E16" s="57">
        <f t="shared" si="3"/>
        <v>400.47657498662329</v>
      </c>
      <c r="F16" s="57">
        <f t="shared" si="4"/>
        <v>10344.645366834382</v>
      </c>
    </row>
    <row r="17" spans="1:7" x14ac:dyDescent="0.3">
      <c r="A17" s="56">
        <v>1</v>
      </c>
      <c r="B17" s="57">
        <f t="shared" si="2"/>
        <v>10344.645366834382</v>
      </c>
      <c r="C17" s="57">
        <f t="shared" si="0"/>
        <v>463.15645298057916</v>
      </c>
      <c r="D17" s="57">
        <f t="shared" si="1"/>
        <v>60.343764639867231</v>
      </c>
      <c r="E17" s="57">
        <f t="shared" si="3"/>
        <v>402.81268834071193</v>
      </c>
      <c r="F17" s="57">
        <f t="shared" si="4"/>
        <v>9941.8326784936708</v>
      </c>
    </row>
    <row r="18" spans="1:7" x14ac:dyDescent="0.3">
      <c r="A18" s="56">
        <v>2</v>
      </c>
      <c r="B18" s="57">
        <f t="shared" si="2"/>
        <v>9941.8326784936708</v>
      </c>
      <c r="C18" s="57">
        <f t="shared" si="0"/>
        <v>463.15645298057916</v>
      </c>
      <c r="D18" s="57">
        <f t="shared" si="1"/>
        <v>57.994023957879747</v>
      </c>
      <c r="E18" s="57">
        <f t="shared" si="3"/>
        <v>405.16242902269943</v>
      </c>
      <c r="F18" s="57">
        <f t="shared" si="4"/>
        <v>9536.6702494709716</v>
      </c>
    </row>
    <row r="19" spans="1:7" x14ac:dyDescent="0.3">
      <c r="A19" s="56">
        <v>3</v>
      </c>
      <c r="B19" s="57">
        <f t="shared" si="2"/>
        <v>9536.6702494709716</v>
      </c>
      <c r="C19" s="57">
        <f t="shared" si="0"/>
        <v>463.15645298057916</v>
      </c>
      <c r="D19" s="57">
        <f t="shared" si="1"/>
        <v>55.630576455247336</v>
      </c>
      <c r="E19" s="57">
        <f t="shared" si="3"/>
        <v>407.5258765253318</v>
      </c>
      <c r="F19" s="57">
        <f t="shared" si="4"/>
        <v>9129.1443729456405</v>
      </c>
      <c r="G19" s="59"/>
    </row>
    <row r="20" spans="1:7" x14ac:dyDescent="0.3">
      <c r="A20" s="56">
        <v>4</v>
      </c>
      <c r="B20" s="57">
        <f t="shared" si="2"/>
        <v>9129.1443729456405</v>
      </c>
      <c r="C20" s="57">
        <f t="shared" si="0"/>
        <v>463.15645298057916</v>
      </c>
      <c r="D20" s="57">
        <f t="shared" si="1"/>
        <v>53.253342175516238</v>
      </c>
      <c r="E20" s="57">
        <f t="shared" si="3"/>
        <v>409.90311080506291</v>
      </c>
      <c r="F20" s="57">
        <f t="shared" si="4"/>
        <v>8719.2412621405783</v>
      </c>
    </row>
    <row r="21" spans="1:7" x14ac:dyDescent="0.3">
      <c r="A21" s="56">
        <v>5</v>
      </c>
      <c r="B21" s="57">
        <f t="shared" si="2"/>
        <v>8719.2412621405783</v>
      </c>
      <c r="C21" s="57">
        <f t="shared" si="0"/>
        <v>463.15645298057916</v>
      </c>
      <c r="D21" s="57">
        <f t="shared" si="1"/>
        <v>50.862240695820041</v>
      </c>
      <c r="E21" s="57">
        <f t="shared" si="3"/>
        <v>412.29421228475911</v>
      </c>
      <c r="F21" s="57">
        <f t="shared" si="4"/>
        <v>8306.9470498558185</v>
      </c>
    </row>
    <row r="22" spans="1:7" x14ac:dyDescent="0.3">
      <c r="A22" s="56">
        <v>6</v>
      </c>
      <c r="B22" s="57">
        <f t="shared" si="2"/>
        <v>8306.9470498558185</v>
      </c>
      <c r="C22" s="57">
        <f t="shared" si="0"/>
        <v>463.15645298057916</v>
      </c>
      <c r="D22" s="57">
        <f t="shared" si="1"/>
        <v>48.457191124158946</v>
      </c>
      <c r="E22" s="57">
        <f t="shared" si="3"/>
        <v>414.69926185642021</v>
      </c>
      <c r="F22" s="57">
        <f t="shared" si="4"/>
        <v>7892.2477879993985</v>
      </c>
    </row>
    <row r="23" spans="1:7" x14ac:dyDescent="0.3">
      <c r="A23" s="56">
        <v>7</v>
      </c>
      <c r="B23" s="57">
        <f t="shared" si="2"/>
        <v>7892.2477879993985</v>
      </c>
      <c r="C23" s="57">
        <f t="shared" si="0"/>
        <v>463.15645298057916</v>
      </c>
      <c r="D23" s="57">
        <f t="shared" si="1"/>
        <v>46.038112096663163</v>
      </c>
      <c r="E23" s="57">
        <f t="shared" si="3"/>
        <v>417.11834088391601</v>
      </c>
      <c r="F23" s="57">
        <f t="shared" si="4"/>
        <v>7475.1294471154824</v>
      </c>
    </row>
    <row r="24" spans="1:7" x14ac:dyDescent="0.3">
      <c r="A24" s="56">
        <v>8</v>
      </c>
      <c r="B24" s="57">
        <f t="shared" si="2"/>
        <v>7475.1294471154824</v>
      </c>
      <c r="C24" s="57">
        <f t="shared" si="0"/>
        <v>463.15645298057916</v>
      </c>
      <c r="D24" s="57">
        <f t="shared" si="1"/>
        <v>43.604921774840314</v>
      </c>
      <c r="E24" s="57">
        <f t="shared" si="3"/>
        <v>419.55153120573885</v>
      </c>
      <c r="F24" s="57">
        <f t="shared" si="4"/>
        <v>7055.5779159097438</v>
      </c>
    </row>
    <row r="25" spans="1:7" x14ac:dyDescent="0.3">
      <c r="A25" s="56">
        <v>9</v>
      </c>
      <c r="B25" s="57">
        <f t="shared" si="2"/>
        <v>7055.5779159097438</v>
      </c>
      <c r="C25" s="57">
        <f t="shared" si="0"/>
        <v>463.15645298057916</v>
      </c>
      <c r="D25" s="57">
        <f t="shared" si="1"/>
        <v>41.157537842806839</v>
      </c>
      <c r="E25" s="57">
        <f t="shared" si="3"/>
        <v>421.99891513777231</v>
      </c>
      <c r="F25" s="57">
        <f t="shared" si="4"/>
        <v>6633.5790007719716</v>
      </c>
    </row>
    <row r="26" spans="1:7" x14ac:dyDescent="0.3">
      <c r="A26" s="56">
        <v>10</v>
      </c>
      <c r="B26" s="57">
        <f t="shared" si="2"/>
        <v>6633.5790007719716</v>
      </c>
      <c r="C26" s="57">
        <f t="shared" si="0"/>
        <v>463.15645298057916</v>
      </c>
      <c r="D26" s="57">
        <f t="shared" si="1"/>
        <v>38.695877504503166</v>
      </c>
      <c r="E26" s="57">
        <f t="shared" si="3"/>
        <v>424.46057547607597</v>
      </c>
      <c r="F26" s="57">
        <f t="shared" si="4"/>
        <v>6209.1184252958956</v>
      </c>
    </row>
    <row r="27" spans="1:7" x14ac:dyDescent="0.3">
      <c r="A27" s="56">
        <v>11</v>
      </c>
      <c r="B27" s="57">
        <f t="shared" si="2"/>
        <v>6209.1184252958956</v>
      </c>
      <c r="C27" s="57">
        <f t="shared" si="0"/>
        <v>463.15645298057916</v>
      </c>
      <c r="D27" s="57">
        <f t="shared" si="1"/>
        <v>36.219857480892728</v>
      </c>
      <c r="E27" s="57">
        <f t="shared" si="3"/>
        <v>426.9365954996864</v>
      </c>
      <c r="F27" s="57">
        <f t="shared" si="4"/>
        <v>5782.1818297962091</v>
      </c>
    </row>
    <row r="28" spans="1:7" x14ac:dyDescent="0.3">
      <c r="A28" s="56">
        <v>12</v>
      </c>
      <c r="B28" s="57">
        <f t="shared" si="2"/>
        <v>5782.1818297962091</v>
      </c>
      <c r="C28" s="57">
        <f t="shared" si="0"/>
        <v>463.15645298057916</v>
      </c>
      <c r="D28" s="57">
        <f t="shared" si="1"/>
        <v>33.729394007144556</v>
      </c>
      <c r="E28" s="57">
        <f t="shared" si="3"/>
        <v>429.42705897343461</v>
      </c>
      <c r="F28" s="61">
        <f>B28-E28</f>
        <v>5352.7547708227748</v>
      </c>
    </row>
    <row r="29" spans="1:7" x14ac:dyDescent="0.3">
      <c r="A29" s="56">
        <v>1</v>
      </c>
      <c r="B29" s="57">
        <f t="shared" ref="B29:B40" si="5">F28</f>
        <v>5352.7547708227748</v>
      </c>
      <c r="C29" s="57">
        <f t="shared" si="0"/>
        <v>463.15645298057916</v>
      </c>
      <c r="D29" s="57">
        <f t="shared" ref="D29:D40" si="6">$B$2/12*B29</f>
        <v>31.224402829799523</v>
      </c>
      <c r="E29" s="57">
        <f t="shared" ref="E29:E40" si="7">C29-D29</f>
        <v>431.93205015077962</v>
      </c>
      <c r="F29" s="61">
        <f t="shared" ref="F29:F40" si="8">B29-E29</f>
        <v>4920.8227206719948</v>
      </c>
    </row>
    <row r="30" spans="1:7" x14ac:dyDescent="0.3">
      <c r="A30" s="56">
        <v>2</v>
      </c>
      <c r="B30" s="57">
        <f t="shared" si="5"/>
        <v>4920.8227206719948</v>
      </c>
      <c r="C30" s="57">
        <f t="shared" si="0"/>
        <v>463.15645298057916</v>
      </c>
      <c r="D30" s="57">
        <f t="shared" si="6"/>
        <v>28.704799203919972</v>
      </c>
      <c r="E30" s="57">
        <f t="shared" si="7"/>
        <v>434.45165377665921</v>
      </c>
      <c r="F30" s="61">
        <f t="shared" si="8"/>
        <v>4486.3710668953354</v>
      </c>
    </row>
    <row r="31" spans="1:7" x14ac:dyDescent="0.3">
      <c r="A31" s="56">
        <v>3</v>
      </c>
      <c r="B31" s="57">
        <f t="shared" si="5"/>
        <v>4486.3710668953354</v>
      </c>
      <c r="C31" s="57">
        <f t="shared" si="0"/>
        <v>463.15645298057916</v>
      </c>
      <c r="D31" s="57">
        <f t="shared" si="6"/>
        <v>26.170497890222791</v>
      </c>
      <c r="E31" s="57">
        <f t="shared" si="7"/>
        <v>436.98595509035636</v>
      </c>
      <c r="F31" s="61">
        <f t="shared" si="8"/>
        <v>4049.3851118049788</v>
      </c>
    </row>
    <row r="32" spans="1:7" x14ac:dyDescent="0.3">
      <c r="A32" s="56">
        <v>4</v>
      </c>
      <c r="B32" s="57">
        <f t="shared" si="5"/>
        <v>4049.3851118049788</v>
      </c>
      <c r="C32" s="57">
        <f t="shared" si="0"/>
        <v>463.15645298057916</v>
      </c>
      <c r="D32" s="57">
        <f t="shared" si="6"/>
        <v>23.621413152195711</v>
      </c>
      <c r="E32" s="57">
        <f t="shared" si="7"/>
        <v>439.53503982838345</v>
      </c>
      <c r="F32" s="61">
        <f t="shared" si="8"/>
        <v>3609.8500719765952</v>
      </c>
    </row>
    <row r="33" spans="1:6" x14ac:dyDescent="0.3">
      <c r="A33" s="56">
        <v>5</v>
      </c>
      <c r="B33" s="57">
        <f t="shared" si="5"/>
        <v>3609.8500719765952</v>
      </c>
      <c r="C33" s="57">
        <f t="shared" si="0"/>
        <v>463.15645298057916</v>
      </c>
      <c r="D33" s="57">
        <f t="shared" si="6"/>
        <v>21.057458753196805</v>
      </c>
      <c r="E33" s="57">
        <f t="shared" si="7"/>
        <v>442.09899422738238</v>
      </c>
      <c r="F33" s="61">
        <f t="shared" si="8"/>
        <v>3167.751077749213</v>
      </c>
    </row>
    <row r="34" spans="1:6" x14ac:dyDescent="0.3">
      <c r="A34" s="56">
        <v>6</v>
      </c>
      <c r="B34" s="57">
        <f t="shared" si="5"/>
        <v>3167.751077749213</v>
      </c>
      <c r="C34" s="57">
        <f t="shared" si="0"/>
        <v>463.15645298057916</v>
      </c>
      <c r="D34" s="57">
        <f t="shared" si="6"/>
        <v>18.478547953537078</v>
      </c>
      <c r="E34" s="57">
        <f t="shared" si="7"/>
        <v>444.67790502704207</v>
      </c>
      <c r="F34" s="61">
        <f t="shared" si="8"/>
        <v>2723.073172722171</v>
      </c>
    </row>
    <row r="35" spans="1:6" x14ac:dyDescent="0.3">
      <c r="A35" s="56">
        <v>7</v>
      </c>
      <c r="B35" s="57">
        <f t="shared" si="5"/>
        <v>2723.073172722171</v>
      </c>
      <c r="C35" s="57">
        <f t="shared" si="0"/>
        <v>463.15645298057916</v>
      </c>
      <c r="D35" s="57">
        <f t="shared" si="6"/>
        <v>15.884593507545999</v>
      </c>
      <c r="E35" s="57">
        <f t="shared" si="7"/>
        <v>447.27185947303315</v>
      </c>
      <c r="F35" s="61">
        <f t="shared" si="8"/>
        <v>2275.8013132491378</v>
      </c>
    </row>
    <row r="36" spans="1:6" x14ac:dyDescent="0.3">
      <c r="A36" s="56">
        <v>8</v>
      </c>
      <c r="B36" s="57">
        <f t="shared" si="5"/>
        <v>2275.8013132491378</v>
      </c>
      <c r="C36" s="57">
        <f t="shared" si="0"/>
        <v>463.15645298057916</v>
      </c>
      <c r="D36" s="57">
        <f t="shared" si="6"/>
        <v>13.27550766061997</v>
      </c>
      <c r="E36" s="57">
        <f t="shared" si="7"/>
        <v>449.88094531995921</v>
      </c>
      <c r="F36" s="61">
        <f t="shared" si="8"/>
        <v>1825.9203679291786</v>
      </c>
    </row>
    <row r="37" spans="1:6" x14ac:dyDescent="0.3">
      <c r="A37" s="56">
        <v>9</v>
      </c>
      <c r="B37" s="57">
        <f t="shared" si="5"/>
        <v>1825.9203679291786</v>
      </c>
      <c r="C37" s="57">
        <f t="shared" si="0"/>
        <v>463.15645298057916</v>
      </c>
      <c r="D37" s="57">
        <f t="shared" si="6"/>
        <v>10.651202146253542</v>
      </c>
      <c r="E37" s="57">
        <f t="shared" si="7"/>
        <v>452.50525083432564</v>
      </c>
      <c r="F37" s="61">
        <f t="shared" si="8"/>
        <v>1373.415117094853</v>
      </c>
    </row>
    <row r="38" spans="1:6" x14ac:dyDescent="0.3">
      <c r="A38" s="56">
        <v>10</v>
      </c>
      <c r="B38" s="57">
        <f t="shared" si="5"/>
        <v>1373.415117094853</v>
      </c>
      <c r="C38" s="57">
        <f t="shared" si="0"/>
        <v>463.15645298057916</v>
      </c>
      <c r="D38" s="57">
        <f t="shared" si="6"/>
        <v>8.0115881830533091</v>
      </c>
      <c r="E38" s="57">
        <f t="shared" si="7"/>
        <v>455.14486479752583</v>
      </c>
      <c r="F38" s="61">
        <f t="shared" si="8"/>
        <v>918.27025229732726</v>
      </c>
    </row>
    <row r="39" spans="1:6" x14ac:dyDescent="0.3">
      <c r="A39" s="56">
        <v>11</v>
      </c>
      <c r="B39" s="57">
        <f t="shared" si="5"/>
        <v>918.27025229732726</v>
      </c>
      <c r="C39" s="57">
        <f t="shared" si="0"/>
        <v>463.15645298057916</v>
      </c>
      <c r="D39" s="57">
        <f t="shared" si="6"/>
        <v>5.3565764717344093</v>
      </c>
      <c r="E39" s="57">
        <f t="shared" si="7"/>
        <v>457.79987650884476</v>
      </c>
      <c r="F39" s="61">
        <f t="shared" si="8"/>
        <v>460.4703757884825</v>
      </c>
    </row>
    <row r="40" spans="1:6" x14ac:dyDescent="0.3">
      <c r="A40" s="56">
        <v>12</v>
      </c>
      <c r="B40" s="57">
        <f t="shared" si="5"/>
        <v>460.4703757884825</v>
      </c>
      <c r="C40" s="57">
        <f t="shared" si="0"/>
        <v>463.15645298057916</v>
      </c>
      <c r="D40" s="60">
        <f t="shared" si="6"/>
        <v>2.6860771920994813</v>
      </c>
      <c r="E40" s="60">
        <f t="shared" si="7"/>
        <v>460.47037578847966</v>
      </c>
      <c r="F40" s="61">
        <f t="shared" si="8"/>
        <v>2.8421709430404007E-12</v>
      </c>
    </row>
    <row r="41" spans="1:6" ht="16.2" thickBot="1" x14ac:dyDescent="0.35">
      <c r="C41" s="1" t="s">
        <v>103</v>
      </c>
      <c r="D41" s="62">
        <f>SUM(D5:D40)</f>
        <v>1673.6323073008527</v>
      </c>
      <c r="E41" s="62">
        <f>SUM(E5:E40)</f>
        <v>14999.999999999996</v>
      </c>
    </row>
    <row r="42" spans="1:6" ht="16.8" thickTop="1" thickBot="1" x14ac:dyDescent="0.35">
      <c r="A42" s="63" t="s">
        <v>104</v>
      </c>
      <c r="B42" s="63"/>
    </row>
    <row r="43" spans="1:6" x14ac:dyDescent="0.3">
      <c r="A43" s="1" t="s">
        <v>73</v>
      </c>
      <c r="B43" s="66">
        <v>0.04</v>
      </c>
    </row>
    <row r="44" spans="1:6" x14ac:dyDescent="0.3">
      <c r="A44" s="1" t="s">
        <v>105</v>
      </c>
      <c r="B44" s="67">
        <v>5000</v>
      </c>
    </row>
    <row r="45" spans="1:6" x14ac:dyDescent="0.3">
      <c r="A45" s="1" t="s">
        <v>106</v>
      </c>
      <c r="B45" s="68">
        <f t="shared" ref="B45" si="9">PMT($B$2/12,12*$B$3,-$B$1,)</f>
        <v>463.15645298057916</v>
      </c>
    </row>
    <row r="46" spans="1:6" x14ac:dyDescent="0.3">
      <c r="A46" s="64" t="s">
        <v>107</v>
      </c>
      <c r="B46" s="69">
        <f>PV(B43,B3,0,-B44,0)</f>
        <v>4444.9817933545737</v>
      </c>
    </row>
    <row r="47" spans="1:6" x14ac:dyDescent="0.3">
      <c r="A47" s="65" t="s">
        <v>108</v>
      </c>
      <c r="B47" s="70">
        <f>B1-B46</f>
        <v>10555.018206645425</v>
      </c>
    </row>
    <row r="48" spans="1:6" ht="16.2" thickBot="1" x14ac:dyDescent="0.35">
      <c r="A48" s="63" t="s">
        <v>109</v>
      </c>
      <c r="B48" s="71"/>
    </row>
    <row r="49" spans="1:2" x14ac:dyDescent="0.3">
      <c r="A49" s="1" t="s">
        <v>110</v>
      </c>
      <c r="B49" s="72">
        <v>3000</v>
      </c>
    </row>
    <row r="50" spans="1:2" x14ac:dyDescent="0.3">
      <c r="A50" s="1" t="s">
        <v>111</v>
      </c>
      <c r="B50" s="67">
        <v>350</v>
      </c>
    </row>
    <row r="51" spans="1:2" x14ac:dyDescent="0.3">
      <c r="A51" s="1" t="s">
        <v>112</v>
      </c>
      <c r="B51" s="69">
        <f>PV(B43/12,B3*12,-B50,0,0)</f>
        <v>11854.768247541055</v>
      </c>
    </row>
    <row r="52" spans="1:2" x14ac:dyDescent="0.3">
      <c r="A52" s="1" t="s">
        <v>113</v>
      </c>
      <c r="B52" s="69">
        <f>B51+B49</f>
        <v>14854.768247541055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Problem 1</vt:lpstr>
      <vt:lpstr>Problem 1 b)</vt:lpstr>
      <vt:lpstr>Problem 1 c)</vt:lpstr>
      <vt:lpstr>Problem 1 d)</vt:lpstr>
      <vt:lpstr>Problem 2</vt:lpstr>
      <vt:lpstr>Problem 3</vt:lpstr>
      <vt:lpstr>Problem 4</vt:lpstr>
      <vt:lpstr>Problem 5</vt:lpstr>
      <vt:lpstr>'Problem 1'!Annual_Investment_required</vt:lpstr>
      <vt:lpstr>'Problem 1'!Expected_Inflation_Rate</vt:lpstr>
      <vt:lpstr>'Problem 1'!First_Annual_Investment</vt:lpstr>
      <vt:lpstr>First_Annual_Investment_required</vt:lpstr>
      <vt:lpstr>'Problem 1'!Investment_Required_Today</vt:lpstr>
      <vt:lpstr>'Problem 1'!Rate_of_Return_before_Retirement</vt:lpstr>
      <vt:lpstr>Total_Cost</vt:lpstr>
      <vt:lpstr>'Problem 1'!Years_in_Retirement</vt:lpstr>
      <vt:lpstr>'Problem 1'!Years_until_Retirement</vt:lpstr>
    </vt:vector>
  </TitlesOfParts>
  <Company>MSCD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jdempere</dc:creator>
  <cp:lastModifiedBy>Del Hawley</cp:lastModifiedBy>
  <dcterms:created xsi:type="dcterms:W3CDTF">2011-12-01T06:15:28Z</dcterms:created>
  <dcterms:modified xsi:type="dcterms:W3CDTF">2015-03-01T19:36:01Z</dcterms:modified>
</cp:coreProperties>
</file>